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65356" windowWidth="7680" windowHeight="4050"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externalReferences>
    <externalReference r:id="rId14"/>
    <externalReference r:id="rId15"/>
  </externalReference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<sst xmlns="http://schemas.openxmlformats.org/spreadsheetml/2006/main" count="500" uniqueCount="296">
  <si>
    <t>The chart shows the costs of Operating Margins availability and utilisation. The target Incentive Cost for 2011/12 for the Operating Margins incentive is £17.32m, with an Incentive Payment capped at £1m and collared at -£1m. The total costs for Q1 to Q3 were £11.69m (Q1 = £3.99m, Q2 = £3.79m, Q3 = £3.91m).</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</si>
  <si>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Q3, in October and December the Average PPM was above the desired target (3.23% in October and 2.40% in December), but the November Average PPM was within target (1.05%).</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</si>
  <si>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Q3, in October the Average LPM was higher than the desired target (3.93 mcm), but November and December were within target (2.42 mcm for November, 2.29 mcm for December).</t>
  </si>
  <si>
    <t>The chart compares the average Price Performance Measure in the month (the blue line) to the incentive target (the orange line), where the target is a PPM of 1.5%. For Q3, in October and December the Average PPM was above the desired target (3.23% in October and 2.40% in December), but the November Average PPM was within target (1.05%).</t>
  </si>
  <si>
    <t>The chart compares the average Linepack Measure in the month (the blue line) to the daily incentive target (the orange line), where the target is an LM of 2.8mcm. For Q3, in October the Average LPM was higher than the desired target (3.93 mcm), but November and December were within target (2.42 mcm for November, 2.29 mcm for December).</t>
  </si>
  <si>
    <t>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Q3 position is a vented mass of 2,103 tonnes.
Please note that volume data for August and September has changed since Q2. Maintenance work to replace the control system at a compressor station delayed the collection of vent data at that site.</t>
  </si>
  <si>
    <t>The chart compares the cumulative mass of natural gas vented (the blue columns) to a cumulative target (the orange band). The Q3 position is a vented mass of 2,103 tonnes.
Please note that volume data for August and September has changed since Q2. Maintenance work to replace the control system at a compressor station delayed the collection of vent data at that site.</t>
  </si>
  <si>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Q3, the performance for all three months was below target levels, reducing the overall Q1 to Q3 profit to £1,485 for the Availability portion of this incentive.</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</si>
  <si>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Q3, performance for all three months was below target levels, resulting in a reduced overall Q1 to Q3 profit of £3,052 for the Timeliness portion of this incentive.</t>
  </si>
  <si>
    <t>The chart compares the average number of minutes for which the incentivised web pages were unavailable in the month (the blue columns) to the incentive target (the orange line), where the target represents 99.3% availability. The chart shows that in Q3, the performance for all three months was below target levels, reducing the overall Q1 to Q3 profit to £1,485 for the Availability portion of this incentive.</t>
  </si>
  <si>
    <t>The chart compares the average timeliness of the incentivised reports for the month (the blue columns) to the incentive target (the orange line), where the target represents 90.5% published within 10 minutes.The chart shows that in Q3, performance for all three months was below target levels, resulting in a reduced overall Q1 to Q3 profit of £3,052 for the Timeliness portion of this incentive.</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</si>
  <si>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Q3 position is a Cumulative Absolute UAG of 3,860 GWh.</t>
  </si>
  <si>
    <t>The chart compares cumulative absolute UAG (the blue columns) to a cumulative target (the orange line). The end of Q3 position is a Cumulative Absolute UAG of 3,860 GWh.</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</si>
  <si>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current Cumulative Incentive Costs (as of December 2011) are £70.38m.</t>
  </si>
  <si>
    <t>The chart compares cumulative total shrinkage costs (the blue bars) to an indicative cumulative target (the orange line). The current Cumulative Incentive Costs (as of December 2011) are £70.38m.</t>
  </si>
  <si>
    <t>Volume of Operating Margins (GWh)</t>
  </si>
  <si>
    <t>Outturn -Shrinkage Electricity (GWh)</t>
  </si>
  <si>
    <t>Cumulative Outturn (GWh)</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</si>
  <si>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</si>
  <si>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</si>
  <si>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</si>
  <si>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</si>
  <si>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</si>
  <si>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</si>
  <si>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</si>
  <si>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</si>
  <si>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</si>
  <si>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</si>
  <si>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</si>
  <si>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</si>
  <si>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</si>
  <si>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</si>
  <si>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</si>
  <si>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</si>
  <si>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</si>
  <si>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</si>
  <si>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</si>
  <si>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</si>
  <si>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</si>
  <si>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</si>
  <si>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</si>
  <si>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</si>
  <si>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</si>
  <si>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</si>
  <si>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</si>
  <si>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</si>
  <si>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</si>
  <si>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</si>
  <si>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</si>
  <si>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</si>
  <si>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</si>
  <si>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</si>
  <si>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</si>
  <si>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</si>
  <si>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</si>
  <si>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</si>
  <si>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</si>
  <si>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</si>
  <si>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</si>
  <si>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</si>
  <si>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</si>
  <si>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</si>
  <si>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</si>
  <si>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</si>
  <si>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</si>
  <si>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</si>
  <si>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</si>
  <si>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</si>
  <si>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</si>
  <si>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</si>
  <si>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</si>
  <si>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</si>
  <si>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</si>
  <si>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</si>
  <si>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</si>
  <si>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</si>
  <si>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</si>
  <si>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</si>
  <si>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</si>
  <si>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</si>
  <si>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</si>
  <si>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</si>
  <si>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</si>
  <si>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</si>
  <si>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</si>
  <si>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</si>
  <si>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</si>
  <si>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</si>
  <si>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</si>
  <si>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</si>
  <si>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</si>
  <si>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</si>
  <si>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</si>
  <si>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</si>
  <si>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</si>
  <si>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</si>
  <si>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</si>
  <si>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</si>
  <si>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</si>
  <si>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</si>
  <si>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</si>
  <si>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</si>
  <si>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</si>
  <si>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</si>
  <si>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</si>
  <si>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</si>
  <si>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</si>
  <si>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</si>
  <si>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</si>
  <si>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</si>
  <si>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</si>
  <si>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</si>
  <si>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</si>
  <si>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</si>
  <si>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</si>
  <si>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</si>
  <si>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</si>
  <si>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</si>
  <si>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</si>
  <si>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</si>
  <si>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</si>
  <si>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</si>
  <si>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</si>
  <si>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</si>
  <si>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</si>
  <si>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</si>
  <si>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</si>
  <si>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</si>
  <si>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</si>
  <si>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</si>
  <si>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</si>
  <si>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</si>
  <si>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</si>
  <si>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</si>
  <si>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</si>
  <si>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</si>
  <si>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</si>
  <si>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</si>
  <si>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</si>
  <si>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</si>
  <si>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</si>
  <si>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</si>
  <si>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</si>
  <si>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</si>
  <si>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</si>
  <si>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</si>
  <si>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</si>
  <si>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</si>
  <si>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</si>
  <si>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</si>
  <si>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</si>
  <si>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</si>
  <si>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</si>
  <si>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</si>
  <si>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</si>
  <si>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</si>
  <si>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</si>
  <si>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</si>
  <si>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</si>
  <si>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</si>
  <si>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</si>
  <si>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</si>
  <si>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</si>
  <si>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</si>
  <si>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</si>
  <si>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</si>
  <si>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</si>
  <si>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</si>
  <si>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</si>
  <si>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</si>
  <si>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</si>
  <si>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</si>
  <si>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</si>
  <si>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</si>
  <si>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</si>
  <si>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</si>
  <si>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</si>
  <si>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</si>
  <si>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</si>
  <si>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</si>
  <si>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</si>
  <si>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</si>
  <si>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</si>
  <si>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</si>
  <si>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</si>
  <si>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</si>
  <si>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</si>
  <si>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</si>
  <si>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</si>
  <si>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</si>
  <si>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</si>
  <si>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</si>
  <si>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</si>
  <si>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</si>
  <si>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</si>
  <si>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</si>
  <si>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</si>
  <si>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</si>
  <si>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</si>
  <si>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</si>
  <si>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</si>
  <si>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</si>
  <si>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</si>
  <si>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</si>
  <si>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</si>
  <si>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</si>
  <si>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</si>
  <si>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</si>
  <si>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</si>
  <si>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</si>
  <si>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</si>
  <si>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</si>
  <si>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</si>
  <si>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</si>
  <si>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</si>
  <si>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</si>
  <si>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</si>
  <si>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</si>
  <si>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</si>
  <si>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</si>
  <si>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</si>
  <si>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</si>
  <si>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</si>
  <si>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</si>
  <si>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</si>
  <si>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</si>
  <si>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</si>
  <si>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</si>
  <si>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</si>
  <si>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</si>
  <si>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</si>
  <si>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</si>
  <si>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</si>
  <si>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</si>
  <si>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</si>
  <si>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</si>
  <si>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</si>
  <si>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</si>
  <si>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</si>
  <si>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</si>
  <si>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</si>
  <si>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</si>
  <si>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</si>
  <si>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</si>
  <si>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</si>
  <si>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</si>
  <si>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</si>
  <si>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</si>
  <si>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</si>
  <si>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</si>
  <si>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</si>
  <si>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</si>
  <si>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</si>
  <si>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</si>
  <si>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</si>
  <si>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</si>
  <si>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</si>
  <si>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</si>
  <si>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</si>
  <si>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</si>
  <si>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</si>
  <si>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</si>
  <si>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</si>
  <si>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</si>
  <si>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</si>
  <si>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</si>
  <si>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Ops Margin Availability Costs (£m)
OMAPCt</t>
  </si>
  <si>
    <t xml:space="preserve">Ops Margin Utilisation Costs (£m)
OMUPCt </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</si>
  <si>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</si>
  <si>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</si>
  <si>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</si>
  <si>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</si>
  <si>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</si>
  <si>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</si>
  <si>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</si>
  <si>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</si>
  <si>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</si>
  <si>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</si>
  <si>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</si>
  <si>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</si>
  <si>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Alongside the demand forecasting incentive, this incentive covers a broader selection of gas system data published on the National Grid website. National Grid is incentivised for the availability and timeliness of data;
* To keep the website available with a target of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</si>
  <si>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</si>
  <si>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</si>
  <si>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</si>
  <si>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</si>
  <si>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</si>
  <si>
    <t>Any other revenue which the Authority decides (Nothing put through this yet)</t>
  </si>
  <si>
    <t>Sharing factors are 25% upside and 20% downside with a maximum incentive profit of £5m and a maximum incentive loss of £4m.
If total spend against the incentive is below the target (i.e. the cost target outperformance is positive), National Grid receives a payment equivalent to 25% of the underspend, subject to a limit of £5m. Conversely, if total spend is above the target, National Grid incurs a penalty of 20% of the overspend, subject to a limit of £4m.</t>
  </si>
  <si>
    <t>The demand forecasting incentive rewards improvements in demand forecasting accuracy. National Grid publishes national gas demand forecasts over a range of timescales. Since Winter 2006/07,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</si>
  <si>
    <t>Q3 2011-2012 (October 2011 to December 2011)</t>
  </si>
  <si>
    <t>2011-2012 Q3 Performance Data</t>
  </si>
  <si>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Q1 to Q3 is 3.55%.</t>
  </si>
  <si>
    <t>The chart compares the monthly cumulative absolute forecast error (the blue line) to the incentive target (the orange line), where the target is a cumulative absolute error of 2.75% for the full year. The Cumulative Absolute Percentage Error for Q1 to Q3 is 3.55%.</t>
  </si>
  <si>
    <t>The chart shows the cumulative costs of Operating Margins availability and utilisation. The total costs for Q1 to Q3 were £11.69m (Q1 = £3.99m, Q2 = £3.79m, Q3 = £3.91m).</t>
  </si>
  <si>
    <t>The chart shows the monthly cumulative buy-back cost performance measure. The annual target cost for this incentive is £16.71m. The scheme has upside and downside sharing factors of 50% with a profit cap of £16.71m and a loss collar of £12.38m. The end of Q3 performance is a cost of -£178K (revenue of £178K). The costs under EnCOBBCt for Q3 include the cost of the Force Majeure Options arrangement at Milford Haven.</t>
  </si>
  <si>
    <t>The chart shows the monthly cumulative buy-back cost performance measure. The annual target cost for this incentive is £16.71m. The end of Q3 performance is a cost of -£178K (revenue of £178K). The costs for EnCOBBCt for Q3 include the cost of the Force Majeure Options arrangement at Milford Haven.</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</si>
</sst>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71">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9.2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0.25"/>
      <name val="Arial"/>
      <family val="2"/>
    </font>
    <font>
      <b/>
      <sz val="11.5"/>
      <name val="Arial"/>
      <family val="2"/>
    </font>
    <font>
      <sz val="11"/>
      <color indexed="9"/>
      <name val="Arial"/>
      <family val="0"/>
    </font>
    <font>
      <sz val="8.75"/>
      <name val="Arial"/>
      <family val="2"/>
    </font>
    <font>
      <b/>
      <sz val="9.75"/>
      <name val="Arial"/>
      <family val="2"/>
    </font>
    <font>
      <b/>
      <sz val="9.5"/>
      <name val="Arial"/>
      <family val="2"/>
    </font>
    <font>
      <b/>
      <sz val="10.5"/>
      <name val="Arial"/>
      <family val="2"/>
    </font>
    <font>
      <sz val="8.5"/>
      <name val="Arial"/>
      <family val="2"/>
    </font>
    <font>
      <b/>
      <sz val="11.75"/>
      <name val="Arial"/>
      <family val="2"/>
    </font>
    <font>
      <sz val="9"/>
      <name val="Arial"/>
      <family val="2"/>
    </font>
    <font>
      <b/>
      <sz val="11.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style="thick">
        <color indexed="28"/>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color indexed="63"/>
      </left>
      <right>
        <color indexed="63"/>
      </right>
      <top>
        <color indexed="63"/>
      </top>
      <bottom style="medium"/>
    </border>
    <border>
      <left>
        <color indexed="63"/>
      </left>
      <right style="thin">
        <color indexed="63"/>
      </right>
      <top>
        <color indexed="63"/>
      </top>
      <bottom style="medium"/>
    </border>
    <border>
      <left>
        <color indexed="63"/>
      </left>
      <right style="thick">
        <color indexed="28"/>
      </right>
      <top style="thin"/>
      <bottom style="thin"/>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9">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7"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6"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1" fillId="3" borderId="0" xfId="0" applyFont="1" applyFill="1" applyBorder="1" applyAlignment="1" applyProtection="1">
      <alignment/>
      <protection locked="0"/>
    </xf>
    <xf numFmtId="0" fontId="22" fillId="3" borderId="0" xfId="0" applyFont="1" applyFill="1" applyBorder="1" applyAlignment="1" applyProtection="1">
      <alignment/>
      <protection locked="0"/>
    </xf>
    <xf numFmtId="0" fontId="17"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5" fillId="3" borderId="0" xfId="0" applyFont="1" applyFill="1" applyAlignment="1">
      <alignment/>
    </xf>
    <xf numFmtId="0" fontId="56" fillId="3" borderId="0" xfId="0" applyFont="1" applyFill="1" applyAlignment="1">
      <alignment/>
    </xf>
    <xf numFmtId="0" fontId="57" fillId="3" borderId="0" xfId="0" applyFont="1" applyFill="1" applyAlignment="1">
      <alignment horizontal="center"/>
    </xf>
    <xf numFmtId="0" fontId="57" fillId="3" borderId="0" xfId="0" applyFont="1" applyFill="1" applyAlignment="1">
      <alignment horizontal="left"/>
    </xf>
    <xf numFmtId="0" fontId="16" fillId="3" borderId="0" xfId="0" applyFont="1" applyFill="1" applyAlignment="1">
      <alignment/>
    </xf>
    <xf numFmtId="0" fontId="0" fillId="3" borderId="0" xfId="0" applyFill="1" applyBorder="1" applyAlignment="1">
      <alignment/>
    </xf>
    <xf numFmtId="0" fontId="36"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6"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6" fillId="3" borderId="65" xfId="0" applyNumberFormat="1" applyFont="1" applyFill="1" applyBorder="1" applyAlignment="1" applyProtection="1">
      <alignment horizontal="center" vertical="center" wrapText="1"/>
      <protection locked="0"/>
    </xf>
    <xf numFmtId="44" fontId="36" fillId="3" borderId="66" xfId="0" applyNumberFormat="1" applyFont="1" applyFill="1" applyBorder="1" applyAlignment="1" applyProtection="1">
      <alignment horizontal="left" vertical="center" wrapText="1"/>
      <protection locked="0"/>
    </xf>
    <xf numFmtId="44" fontId="36"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20" fillId="3" borderId="0" xfId="0" applyFont="1" applyFill="1" applyBorder="1" applyAlignment="1" applyProtection="1">
      <alignment/>
      <protection locked="0"/>
    </xf>
    <xf numFmtId="0" fontId="19" fillId="3" borderId="0" xfId="0" applyFont="1" applyFill="1" applyBorder="1" applyAlignment="1" applyProtection="1">
      <alignment horizontal="center"/>
      <protection locked="0"/>
    </xf>
    <xf numFmtId="0" fontId="17" fillId="3" borderId="0" xfId="0" applyFont="1" applyFill="1" applyBorder="1" applyAlignment="1" applyProtection="1">
      <alignment horizontal="center"/>
      <protection locked="0"/>
    </xf>
    <xf numFmtId="0" fontId="17" fillId="3" borderId="0" xfId="0" applyFont="1" applyFill="1" applyBorder="1" applyAlignment="1" applyProtection="1">
      <alignment/>
      <protection locked="0"/>
    </xf>
    <xf numFmtId="0" fontId="18" fillId="3" borderId="0" xfId="0" applyFont="1" applyFill="1" applyBorder="1" applyAlignment="1" applyProtection="1">
      <alignment/>
      <protection locked="0"/>
    </xf>
    <xf numFmtId="0" fontId="0" fillId="3" borderId="0" xfId="0" applyFill="1" applyBorder="1" applyAlignment="1" applyProtection="1">
      <alignment/>
      <protection locked="0"/>
    </xf>
    <xf numFmtId="0" fontId="36"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40" fillId="3" borderId="69" xfId="0" applyFont="1" applyFill="1" applyBorder="1" applyAlignment="1" applyProtection="1">
      <alignment horizontal="lef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22" fillId="3" borderId="70" xfId="0" applyFont="1" applyFill="1" applyBorder="1" applyAlignment="1" applyProtection="1">
      <alignment/>
      <protection locked="0"/>
    </xf>
    <xf numFmtId="0" fontId="19" fillId="3" borderId="70" xfId="0" applyFont="1" applyFill="1" applyBorder="1" applyAlignment="1" applyProtection="1">
      <alignment horizontal="center"/>
      <protection locked="0"/>
    </xf>
    <xf numFmtId="0" fontId="17" fillId="3" borderId="70" xfId="0" applyFont="1" applyFill="1" applyBorder="1" applyAlignment="1" applyProtection="1">
      <alignment horizontal="center"/>
      <protection locked="0"/>
    </xf>
    <xf numFmtId="0" fontId="17" fillId="3" borderId="70" xfId="0" applyFont="1" applyFill="1" applyBorder="1" applyAlignment="1" applyProtection="1">
      <alignment/>
      <protection locked="0"/>
    </xf>
    <xf numFmtId="0" fontId="18"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40"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5"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6" fillId="3" borderId="74" xfId="0" applyFont="1" applyFill="1" applyBorder="1" applyAlignment="1" applyProtection="1">
      <alignment horizontal="center" vertical="center" wrapText="1"/>
      <protection locked="0"/>
    </xf>
    <xf numFmtId="0" fontId="36"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5"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6" fillId="3" borderId="73" xfId="0" applyFont="1" applyFill="1" applyBorder="1" applyAlignment="1" applyProtection="1">
      <alignment/>
      <protection locked="0"/>
    </xf>
    <xf numFmtId="44" fontId="36" fillId="3" borderId="76" xfId="0" applyNumberFormat="1" applyFont="1" applyFill="1" applyBorder="1" applyAlignment="1" applyProtection="1">
      <alignment horizontal="center" vertical="center" wrapText="1"/>
      <protection locked="0"/>
    </xf>
    <xf numFmtId="44" fontId="36"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6" fillId="3" borderId="0" xfId="0" applyNumberFormat="1" applyFont="1" applyFill="1" applyAlignment="1" applyProtection="1">
      <alignment horizontal="center" vertical="center" wrapText="1"/>
      <protection locked="0"/>
    </xf>
    <xf numFmtId="44" fontId="16" fillId="3" borderId="72" xfId="0" applyNumberFormat="1" applyFont="1" applyFill="1" applyBorder="1" applyAlignment="1" applyProtection="1">
      <alignment horizontal="center" vertical="center" wrapText="1"/>
      <protection locked="0"/>
    </xf>
    <xf numFmtId="44" fontId="16" fillId="3" borderId="0" xfId="0" applyNumberFormat="1" applyFont="1" applyFill="1" applyBorder="1" applyAlignment="1" applyProtection="1">
      <alignment horizontal="center" vertical="center" wrapText="1"/>
      <protection locked="0"/>
    </xf>
    <xf numFmtId="44" fontId="16" fillId="3" borderId="73" xfId="0" applyNumberFormat="1" applyFont="1" applyFill="1" applyBorder="1" applyAlignment="1" applyProtection="1">
      <alignment horizontal="center" vertical="center" wrapText="1"/>
      <protection locked="0"/>
    </xf>
    <xf numFmtId="0" fontId="16"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9" fillId="3" borderId="0" xfId="0" applyFont="1" applyFill="1" applyAlignment="1" applyProtection="1">
      <alignment/>
      <protection locked="0"/>
    </xf>
    <xf numFmtId="0" fontId="62" fillId="3" borderId="0" xfId="0" applyFont="1" applyFill="1" applyAlignment="1" applyProtection="1">
      <alignment/>
      <protection locked="0"/>
    </xf>
    <xf numFmtId="0" fontId="61" fillId="3" borderId="0" xfId="0" applyFont="1" applyFill="1" applyAlignment="1" applyProtection="1">
      <alignment/>
      <protection locked="0"/>
    </xf>
    <xf numFmtId="0" fontId="65"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6"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2"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40"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6"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6"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3"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1" fillId="3" borderId="100" xfId="0" applyNumberFormat="1" applyFont="1" applyFill="1" applyBorder="1" applyAlignment="1" applyProtection="1">
      <alignment horizontal="center"/>
      <protection/>
    </xf>
    <xf numFmtId="3" fontId="41"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6"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6"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6" fillId="3" borderId="92" xfId="0" applyFont="1" applyFill="1" applyBorder="1" applyAlignment="1" applyProtection="1">
      <alignment horizontal="center" wrapText="1"/>
      <protection locked="0"/>
    </xf>
    <xf numFmtId="0" fontId="36"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1"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5"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5"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5" fillId="3" borderId="121" xfId="24" applyNumberFormat="1" applyFont="1" applyFill="1" applyBorder="1" applyAlignment="1" applyProtection="1">
      <alignment horizontal="center" vertical="center"/>
      <protection locked="0"/>
    </xf>
    <xf numFmtId="1" fontId="45"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40"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5" fillId="3" borderId="72" xfId="28" applyFont="1" applyFill="1" applyBorder="1" applyAlignment="1" applyProtection="1">
      <alignment/>
      <protection locked="0"/>
    </xf>
    <xf numFmtId="0" fontId="36"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5"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6"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9"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4"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6" fillId="3" borderId="91" xfId="24" applyFont="1" applyFill="1" applyBorder="1" applyAlignment="1" applyProtection="1">
      <alignment/>
      <protection locked="0"/>
    </xf>
    <xf numFmtId="17" fontId="36"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8" fillId="3" borderId="0" xfId="0" applyFont="1" applyFill="1" applyAlignment="1" applyProtection="1">
      <alignment/>
      <protection locked="0"/>
    </xf>
    <xf numFmtId="0" fontId="64"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protection locked="0"/>
    </xf>
    <xf numFmtId="0" fontId="60"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5"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6"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4" fillId="3" borderId="72" xfId="0" applyFont="1" applyFill="1" applyBorder="1" applyAlignment="1" applyProtection="1">
      <alignment horizontal="left"/>
      <protection locked="0"/>
    </xf>
    <xf numFmtId="0" fontId="45"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2"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5"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2"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6"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2"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61"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6" fillId="0" borderId="146" xfId="0" applyNumberFormat="1" applyFont="1" applyBorder="1" applyAlignment="1">
      <alignment horizontal="left" wrapText="1"/>
    </xf>
    <xf numFmtId="0" fontId="0" fillId="0" borderId="146" xfId="0" applyBorder="1" applyAlignment="1">
      <alignment wrapText="1"/>
    </xf>
    <xf numFmtId="0" fontId="35" fillId="0" borderId="146" xfId="0" applyFont="1" applyBorder="1" applyAlignment="1">
      <alignment wrapText="1"/>
    </xf>
    <xf numFmtId="0" fontId="11" fillId="0" borderId="146" xfId="0" applyFont="1" applyBorder="1" applyAlignment="1">
      <alignment wrapText="1"/>
    </xf>
    <xf numFmtId="0" fontId="36"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6" fillId="0" borderId="145" xfId="0" applyFont="1" applyBorder="1" applyAlignment="1">
      <alignment wrapText="1"/>
    </xf>
    <xf numFmtId="0" fontId="11" fillId="0" borderId="147" xfId="0" applyFont="1" applyBorder="1" applyAlignment="1">
      <alignment wrapText="1"/>
    </xf>
    <xf numFmtId="0" fontId="67" fillId="0" borderId="147" xfId="23" applyFont="1" applyBorder="1" applyAlignment="1">
      <alignment wrapText="1"/>
    </xf>
    <xf numFmtId="0" fontId="36" fillId="0" borderId="145" xfId="0" applyFont="1" applyBorder="1" applyAlignment="1">
      <alignment wrapText="1"/>
    </xf>
    <xf numFmtId="0" fontId="70"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7" fillId="0" borderId="146" xfId="0" applyFont="1" applyBorder="1" applyAlignment="1">
      <alignment wrapText="1"/>
    </xf>
    <xf numFmtId="0" fontId="0" fillId="0" borderId="0" xfId="0" applyAlignment="1">
      <alignment/>
    </xf>
    <xf numFmtId="3" fontId="11" fillId="3" borderId="0" xfId="25" applyNumberFormat="1" applyFont="1" applyFill="1" applyBorder="1" applyAlignment="1" applyProtection="1">
      <alignment horizontal="center"/>
      <protection locked="0"/>
    </xf>
    <xf numFmtId="3" fontId="11" fillId="3" borderId="54" xfId="24" applyNumberFormat="1" applyFont="1" applyFill="1" applyBorder="1" applyAlignment="1" applyProtection="1">
      <alignment horizontal="center"/>
      <protection/>
    </xf>
    <xf numFmtId="3" fontId="11" fillId="3" borderId="15" xfId="24" applyNumberFormat="1" applyFont="1" applyFill="1" applyBorder="1" applyAlignment="1" applyProtection="1">
      <alignment horizontal="center"/>
      <protection/>
    </xf>
    <xf numFmtId="0" fontId="5" fillId="3" borderId="89" xfId="0" applyFont="1" applyFill="1" applyBorder="1" applyAlignment="1" applyProtection="1">
      <alignment horizontal="center" vertical="center"/>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0"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3" fontId="11" fillId="3" borderId="77" xfId="0" applyNumberFormat="1" applyFont="1" applyFill="1" applyBorder="1" applyAlignment="1" applyProtection="1">
      <alignment horizontal="center" vertical="center"/>
      <protection locked="0"/>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62" xfId="0" applyFont="1" applyFill="1" applyBorder="1" applyAlignment="1" applyProtection="1">
      <alignment horizontal="center" vertical="center" wrapText="1"/>
      <protection locked="0"/>
    </xf>
    <xf numFmtId="17" fontId="11" fillId="3" borderId="100" xfId="0" applyNumberFormat="1" applyFont="1" applyFill="1" applyBorder="1" applyAlignment="1" applyProtection="1">
      <alignment horizontal="center"/>
      <protection locked="0"/>
    </xf>
    <xf numFmtId="17" fontId="11" fillId="3" borderId="126"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vertical="center"/>
      <protection locked="0"/>
    </xf>
    <xf numFmtId="0" fontId="57" fillId="3" borderId="0" xfId="0" applyFont="1" applyFill="1" applyAlignment="1">
      <alignment horizontal="center"/>
    </xf>
    <xf numFmtId="0" fontId="52" fillId="3" borderId="41" xfId="0" applyFont="1" applyFill="1" applyBorder="1" applyAlignment="1">
      <alignment horizontal="left" vertical="center" wrapText="1"/>
    </xf>
    <xf numFmtId="0" fontId="0"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1"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2" xfId="0" applyFont="1" applyFill="1" applyBorder="1" applyAlignment="1">
      <alignment horizontal="left" vertical="center" wrapText="1"/>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153" xfId="0" applyFont="1" applyFill="1" applyBorder="1" applyAlignment="1" applyProtection="1">
      <alignment horizontal="center" vertical="center" wrapText="1"/>
      <protection locked="0"/>
    </xf>
    <xf numFmtId="0" fontId="11" fillId="3" borderId="154" xfId="0" applyFont="1" applyFill="1" applyBorder="1" applyAlignment="1" applyProtection="1">
      <alignment horizontal="center" vertical="center" wrapText="1"/>
      <protection locked="0"/>
    </xf>
    <xf numFmtId="0" fontId="5" fillId="3" borderId="136" xfId="0" applyFont="1" applyFill="1" applyBorder="1" applyAlignment="1" applyProtection="1">
      <alignment horizontal="center" vertical="center"/>
      <protection locked="0"/>
    </xf>
    <xf numFmtId="0" fontId="5" fillId="3" borderId="155" xfId="0" applyFont="1" applyFill="1" applyBorder="1" applyAlignment="1" applyProtection="1">
      <alignment horizontal="center" vertical="center"/>
      <protection locked="0"/>
    </xf>
    <xf numFmtId="0" fontId="36" fillId="3" borderId="59" xfId="0" applyFont="1" applyFill="1" applyBorder="1" applyAlignment="1" applyProtection="1">
      <alignment horizontal="left" vertical="center" wrapText="1"/>
      <protection locked="0"/>
    </xf>
    <xf numFmtId="0" fontId="36" fillId="3" borderId="0" xfId="0" applyFont="1" applyFill="1" applyBorder="1" applyAlignment="1" applyProtection="1">
      <alignment horizontal="left" vertical="center" wrapText="1"/>
      <protection locked="0"/>
    </xf>
    <xf numFmtId="0" fontId="36" fillId="3" borderId="73" xfId="0" applyFont="1" applyFill="1" applyBorder="1" applyAlignment="1" applyProtection="1">
      <alignment horizontal="left" vertical="center" wrapText="1"/>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50"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6" fillId="3" borderId="89" xfId="0" applyFont="1" applyFill="1" applyBorder="1" applyAlignment="1" applyProtection="1">
      <alignment horizontal="center"/>
      <protection locked="0"/>
    </xf>
    <xf numFmtId="0" fontId="36" fillId="3" borderId="136" xfId="0" applyFont="1" applyFill="1" applyBorder="1" applyAlignment="1" applyProtection="1">
      <alignment horizontal="center"/>
      <protection locked="0"/>
    </xf>
    <xf numFmtId="0" fontId="36" fillId="3" borderId="155" xfId="0" applyFont="1" applyFill="1" applyBorder="1" applyAlignment="1" applyProtection="1">
      <alignment horizontal="center"/>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56"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41" fillId="3" borderId="100" xfId="0" applyFont="1" applyFill="1" applyBorder="1" applyAlignment="1" applyProtection="1">
      <alignment horizontal="left"/>
      <protection locked="0"/>
    </xf>
    <xf numFmtId="0" fontId="41" fillId="3" borderId="11"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36"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36" fillId="3" borderId="100" xfId="24" applyFont="1" applyFill="1" applyBorder="1" applyAlignment="1" applyProtection="1">
      <alignment horizontal="center"/>
      <protection locked="0"/>
    </xf>
    <xf numFmtId="0" fontId="36" fillId="3" borderId="101" xfId="24" applyFont="1" applyFill="1" applyBorder="1" applyAlignment="1" applyProtection="1">
      <alignment/>
      <protection locked="0"/>
    </xf>
    <xf numFmtId="0" fontId="36" fillId="3" borderId="11" xfId="24" applyFont="1" applyFill="1" applyBorder="1" applyAlignment="1" applyProtection="1">
      <alignment/>
      <protection locked="0"/>
    </xf>
    <xf numFmtId="0" fontId="36" fillId="3" borderId="11" xfId="24" applyFont="1" applyFill="1" applyBorder="1" applyAlignment="1" applyProtection="1">
      <alignment horizontal="center"/>
      <protection locked="0"/>
    </xf>
    <xf numFmtId="0" fontId="36" fillId="3" borderId="84" xfId="28" applyFont="1" applyFill="1" applyBorder="1" applyAlignment="1" applyProtection="1">
      <alignment horizontal="center" vertical="center" wrapText="1"/>
      <protection locked="0"/>
    </xf>
    <xf numFmtId="0" fontId="36" fillId="3" borderId="88" xfId="28" applyFont="1" applyFill="1" applyBorder="1" applyAlignment="1" applyProtection="1">
      <alignment horizontal="center" vertical="center" wrapText="1"/>
      <protection locked="0"/>
    </xf>
    <xf numFmtId="0" fontId="36" fillId="3" borderId="100" xfId="28" applyFont="1" applyFill="1" applyBorder="1" applyAlignment="1" applyProtection="1">
      <alignment horizontal="center"/>
      <protection locked="0"/>
    </xf>
    <xf numFmtId="0" fontId="36" fillId="3" borderId="101" xfId="28" applyFont="1" applyFill="1" applyBorder="1" applyAlignment="1" applyProtection="1">
      <alignment/>
      <protection locked="0"/>
    </xf>
    <xf numFmtId="0" fontId="36" fillId="3" borderId="11" xfId="28" applyFont="1" applyFill="1" applyBorder="1" applyAlignment="1" applyProtection="1">
      <alignment/>
      <protection locked="0"/>
    </xf>
    <xf numFmtId="0" fontId="36" fillId="3" borderId="11" xfId="28" applyFont="1" applyFill="1" applyBorder="1" applyAlignment="1" applyProtection="1">
      <alignment horizontal="center"/>
      <protection locked="0"/>
    </xf>
    <xf numFmtId="0" fontId="11" fillId="3" borderId="157" xfId="28" applyFont="1" applyFill="1" applyBorder="1" applyAlignment="1" applyProtection="1">
      <alignment horizontal="left" vertical="center" wrapText="1"/>
      <protection locked="0"/>
    </xf>
    <xf numFmtId="0" fontId="11" fillId="3" borderId="158" xfId="28" applyFont="1" applyFill="1" applyBorder="1" applyAlignment="1" applyProtection="1">
      <alignment horizontal="left" vertical="center" wrapText="1"/>
      <protection locked="0"/>
    </xf>
    <xf numFmtId="0" fontId="11" fillId="3" borderId="159" xfId="28" applyFont="1" applyFill="1" applyBorder="1" applyAlignment="1" applyProtection="1">
      <alignment horizontal="left" vertical="center" wrapText="1"/>
      <protection locked="0"/>
    </xf>
    <xf numFmtId="0" fontId="36" fillId="3" borderId="89" xfId="28" applyFont="1" applyFill="1" applyBorder="1" applyAlignment="1" applyProtection="1">
      <alignment horizontal="center"/>
      <protection locked="0"/>
    </xf>
    <xf numFmtId="0" fontId="36" fillId="3" borderId="136" xfId="28" applyFont="1" applyFill="1" applyBorder="1" applyAlignment="1" applyProtection="1">
      <alignment horizontal="center"/>
      <protection locked="0"/>
    </xf>
    <xf numFmtId="0" fontId="36" fillId="3" borderId="155" xfId="28" applyFont="1" applyFill="1" applyBorder="1" applyAlignment="1" applyProtection="1">
      <alignment horizontal="center"/>
      <protection locked="0"/>
    </xf>
    <xf numFmtId="0" fontId="36" fillId="3" borderId="59" xfId="24" applyFont="1" applyFill="1" applyBorder="1" applyAlignment="1" applyProtection="1">
      <alignment horizontal="left" vertical="center" wrapText="1"/>
      <protection locked="0"/>
    </xf>
    <xf numFmtId="0" fontId="36" fillId="3" borderId="0" xfId="24" applyFont="1" applyFill="1" applyBorder="1" applyAlignment="1" applyProtection="1">
      <alignment horizontal="left" vertical="center" wrapText="1"/>
      <protection locked="0"/>
    </xf>
    <xf numFmtId="0" fontId="36"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36" fillId="3" borderId="157" xfId="0" applyFont="1" applyFill="1" applyBorder="1" applyAlignment="1" applyProtection="1">
      <alignment horizontal="center"/>
      <protection locked="0"/>
    </xf>
    <xf numFmtId="0" fontId="36" fillId="3" borderId="158" xfId="0" applyFont="1" applyFill="1" applyBorder="1" applyAlignment="1" applyProtection="1">
      <alignment horizontal="center"/>
      <protection locked="0"/>
    </xf>
    <xf numFmtId="0" fontId="11" fillId="3" borderId="158"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58" xfId="0" applyFont="1" applyFill="1" applyBorder="1" applyAlignment="1" applyProtection="1">
      <alignment horizontal="justify" vertical="center" wrapText="1"/>
      <protection locked="0"/>
    </xf>
    <xf numFmtId="0" fontId="11" fillId="3" borderId="158" xfId="0" applyFont="1" applyFill="1" applyBorder="1" applyAlignment="1" applyProtection="1">
      <alignment vertical="center"/>
      <protection locked="0"/>
    </xf>
    <xf numFmtId="0" fontId="11" fillId="3" borderId="159" xfId="0" applyFont="1" applyFill="1" applyBorder="1" applyAlignment="1" applyProtection="1">
      <alignment vertical="center"/>
      <protection locked="0"/>
    </xf>
    <xf numFmtId="0" fontId="36" fillId="3" borderId="127" xfId="0" applyFont="1" applyFill="1" applyBorder="1" applyAlignment="1" applyProtection="1">
      <alignment horizontal="center"/>
      <protection locked="0"/>
    </xf>
    <xf numFmtId="0" fontId="36" fillId="3" borderId="159"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6" fillId="3" borderId="158" xfId="0" applyFont="1" applyFill="1" applyBorder="1" applyAlignment="1" applyProtection="1">
      <alignment horizontal="left" vertical="center" wrapText="1"/>
      <protection locked="0"/>
    </xf>
    <xf numFmtId="0" fontId="16" fillId="3" borderId="159" xfId="0" applyFont="1" applyFill="1" applyBorder="1" applyAlignment="1" applyProtection="1">
      <alignment horizontal="left" vertical="center" wrapText="1"/>
      <protection locked="0"/>
    </xf>
    <xf numFmtId="0" fontId="11" fillId="3" borderId="158" xfId="0" applyFont="1" applyFill="1" applyBorder="1" applyAlignment="1" applyProtection="1">
      <alignment horizontal="left" vertical="center" wrapText="1"/>
      <protection locked="0"/>
    </xf>
    <xf numFmtId="0" fontId="11" fillId="3" borderId="159"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60" xfId="0" applyFont="1" applyFill="1" applyBorder="1" applyAlignment="1">
      <alignment horizontal="center" vertical="center" wrapText="1"/>
    </xf>
    <xf numFmtId="0" fontId="3" fillId="2" borderId="19" xfId="0" applyFont="1" applyFill="1" applyBorder="1" applyAlignment="1">
      <alignment horizontal="center" vertical="center" wrapText="1"/>
    </xf>
    <xf numFmtId="2" fontId="11" fillId="3" borderId="161" xfId="24" applyNumberFormat="1" applyFont="1" applyFill="1" applyBorder="1" applyAlignment="1" applyProtection="1">
      <alignment horizontal="center" vertical="center"/>
      <protection locked="0"/>
    </xf>
    <xf numFmtId="2" fontId="11" fillId="3" borderId="162"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63" xfId="24" applyNumberFormat="1" applyFont="1" applyFill="1" applyBorder="1" applyAlignment="1" applyProtection="1">
      <alignment horizontal="center" vertical="center"/>
      <protection locked="0"/>
    </xf>
    <xf numFmtId="2" fontId="11" fillId="3" borderId="164" xfId="24" applyNumberFormat="1" applyFont="1" applyFill="1" applyBorder="1" applyAlignment="1" applyProtection="1">
      <alignment horizontal="center" vertical="center"/>
      <protection locked="0"/>
    </xf>
    <xf numFmtId="2" fontId="11" fillId="3" borderId="165" xfId="24" applyNumberFormat="1" applyFont="1" applyFill="1" applyBorder="1" applyAlignment="1" applyProtection="1">
      <alignment horizontal="center" vertical="center"/>
      <protection locked="0"/>
    </xf>
    <xf numFmtId="0" fontId="24"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63" xfId="24" applyNumberFormat="1" applyFont="1" applyFill="1" applyBorder="1" applyAlignment="1" applyProtection="1">
      <alignment horizontal="center" vertical="center"/>
      <protection locked="0"/>
    </xf>
    <xf numFmtId="175" fontId="11" fillId="3" borderId="164" xfId="24" applyNumberFormat="1" applyFont="1" applyFill="1" applyBorder="1" applyAlignment="1" applyProtection="1">
      <alignment horizontal="center" vertical="center"/>
      <protection locked="0"/>
    </xf>
    <xf numFmtId="175" fontId="11" fillId="3" borderId="165"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-1347804.6361</c:v>
                </c:pt>
                <c:pt idx="4">
                  <c:v>-1369409.5661</c:v>
                </c:pt>
                <c:pt idx="5">
                  <c:v>-1391051.5761</c:v>
                </c:pt>
                <c:pt idx="6">
                  <c:v>-994129.1364359986</c:v>
                </c:pt>
                <c:pt idx="7">
                  <c:v>-582272.8964360005</c:v>
                </c:pt>
                <c:pt idx="8">
                  <c:v>-178015.08643600246</c:v>
                </c:pt>
                <c:pt idx="9">
                  <c:v>0</c:v>
                </c:pt>
                <c:pt idx="10">
                  <c:v>0</c:v>
                </c:pt>
                <c:pt idx="11">
                  <c:v>0</c:v>
                </c:pt>
              </c:numCache>
            </c:numRef>
          </c:val>
        </c:ser>
        <c:overlap val="100"/>
        <c:gapWidth val="10"/>
        <c:axId val="38930141"/>
        <c:axId val="14826950"/>
      </c:barChart>
      <c:dateAx>
        <c:axId val="38930141"/>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14826950"/>
        <c:crosses val="autoZero"/>
        <c:auto val="0"/>
        <c:noMultiLvlLbl val="0"/>
      </c:dateAx>
      <c:valAx>
        <c:axId val="14826950"/>
        <c:scaling>
          <c:orientation val="minMax"/>
          <c:max val="0"/>
          <c:min val="-9000000"/>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38930141"/>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31834439"/>
        <c:axId val="18074496"/>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3093</c:v>
                </c:pt>
                <c:pt idx="7">
                  <c:v>3515</c:v>
                </c:pt>
                <c:pt idx="8">
                  <c:v>3860</c:v>
                </c:pt>
                <c:pt idx="9">
                  <c:v>0</c:v>
                </c:pt>
                <c:pt idx="10">
                  <c:v>0</c:v>
                </c:pt>
                <c:pt idx="11">
                  <c:v>0</c:v>
                </c:pt>
              </c:numCache>
            </c:numRef>
          </c:val>
        </c:ser>
        <c:axId val="31834439"/>
        <c:axId val="18074496"/>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31834439"/>
        <c:axId val="18074496"/>
      </c:lineChart>
      <c:catAx>
        <c:axId val="3183443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8074496"/>
        <c:crosses val="autoZero"/>
        <c:auto val="0"/>
        <c:lblOffset val="0"/>
        <c:tickLblSkip val="1"/>
        <c:noMultiLvlLbl val="0"/>
      </c:catAx>
      <c:valAx>
        <c:axId val="18074496"/>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834439"/>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Capacity!$D$61:$O$61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Capacity!$D$62:$O$62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Capacity!$D$63:$O$63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Capacity!$D$64:$O$64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Capacity!$D$65:$O$65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Capacity!$D$66:$O$66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Capacity!$D$67:$O$67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28452737"/>
        <c:axId val="54748042"/>
      </c:barChart>
      <c:catAx>
        <c:axId val="28452737"/>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54748042"/>
        <c:crosses val="autoZero"/>
        <c:auto val="1"/>
        <c:lblOffset val="100"/>
        <c:noMultiLvlLbl val="0"/>
      </c:catAx>
      <c:valAx>
        <c:axId val="54748042"/>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8452737"/>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300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Capacity!$D$60:$O$60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10"/>
        <c:axId val="22970331"/>
        <c:axId val="5406388"/>
      </c:barChart>
      <c:catAx>
        <c:axId val="22970331"/>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5406388"/>
        <c:crosses val="autoZero"/>
        <c:auto val="1"/>
        <c:lblOffset val="100"/>
        <c:noMultiLvlLbl val="0"/>
      </c:catAx>
      <c:valAx>
        <c:axId val="5406388"/>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22970331"/>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905"/>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48657493"/>
        <c:axId val="35264254"/>
      </c:scatterChart>
      <c:valAx>
        <c:axId val="48657493"/>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5264254"/>
        <c:crosses val="autoZero"/>
        <c:crossBetween val="midCat"/>
        <c:dispUnits/>
        <c:majorUnit val="20"/>
      </c:valAx>
      <c:valAx>
        <c:axId val="3526425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8657493"/>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Forecasting'!$G$69:$G$80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'Demand Forecasting'!$J$69:$J$80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8942831"/>
        <c:axId val="37832296"/>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946345"/>
        <c:axId val="44517106"/>
      </c:lineChart>
      <c:catAx>
        <c:axId val="48942831"/>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37832296"/>
        <c:crosses val="autoZero"/>
        <c:auto val="0"/>
        <c:lblOffset val="100"/>
        <c:tickLblSkip val="1"/>
        <c:noMultiLvlLbl val="0"/>
      </c:catAx>
      <c:valAx>
        <c:axId val="37832296"/>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48942831"/>
        <c:crossesAt val="1"/>
        <c:crossBetween val="between"/>
        <c:dispUnits/>
      </c:valAx>
      <c:catAx>
        <c:axId val="4946345"/>
        <c:scaling>
          <c:orientation val="minMax"/>
        </c:scaling>
        <c:axPos val="b"/>
        <c:delete val="1"/>
        <c:majorTickMark val="in"/>
        <c:minorTickMark val="none"/>
        <c:tickLblPos val="nextTo"/>
        <c:crossAx val="44517106"/>
        <c:crosses val="autoZero"/>
        <c:auto val="0"/>
        <c:lblOffset val="100"/>
        <c:tickLblSkip val="1"/>
        <c:noMultiLvlLbl val="0"/>
      </c:catAx>
      <c:valAx>
        <c:axId val="44517106"/>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4946345"/>
        <c:crosses val="max"/>
        <c:crossBetween val="between"/>
        <c:dispUnits/>
      </c:valAx>
      <c:spPr>
        <a:noFill/>
        <a:ln w="12700">
          <a:solidFill>
            <a:srgbClr val="808080"/>
          </a:solidFill>
        </a:ln>
      </c:spPr>
    </c:plotArea>
    <c:legend>
      <c:legendPos val="b"/>
      <c:layout>
        <c:manualLayout>
          <c:xMode val="edge"/>
          <c:yMode val="edge"/>
          <c:x val="0.209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65109635"/>
        <c:axId val="49115804"/>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Forecasting'!$J$69:$J$77</c:f>
              <c:numCache>
                <c:ptCount val="9"/>
                <c:pt idx="0">
                  <c:v>0</c:v>
                </c:pt>
                <c:pt idx="1">
                  <c:v>0</c:v>
                </c:pt>
                <c:pt idx="2">
                  <c:v>0</c:v>
                </c:pt>
                <c:pt idx="3">
                  <c:v>0</c:v>
                </c:pt>
                <c:pt idx="4">
                  <c:v>0</c:v>
                </c:pt>
                <c:pt idx="5">
                  <c:v>0</c:v>
                </c:pt>
                <c:pt idx="6">
                  <c:v>0</c:v>
                </c:pt>
                <c:pt idx="7">
                  <c:v>0</c:v>
                </c:pt>
                <c:pt idx="8">
                  <c:v>0</c:v>
                </c:pt>
              </c:numCache>
            </c:numRef>
          </c:val>
          <c:smooth val="0"/>
        </c:ser>
        <c:axId val="65109635"/>
        <c:axId val="49115804"/>
      </c:lineChart>
      <c:catAx>
        <c:axId val="6510963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9115804"/>
        <c:crosses val="autoZero"/>
        <c:auto val="0"/>
        <c:lblOffset val="100"/>
        <c:tickLblSkip val="1"/>
        <c:noMultiLvlLbl val="0"/>
      </c:catAx>
      <c:valAx>
        <c:axId val="49115804"/>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65109635"/>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39389053"/>
        <c:axId val="18957158"/>
      </c:scatterChart>
      <c:valAx>
        <c:axId val="39389053"/>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957158"/>
        <c:crosses val="autoZero"/>
        <c:crossBetween val="midCat"/>
        <c:dispUnits/>
        <c:minorUnit val="0.005"/>
      </c:valAx>
      <c:valAx>
        <c:axId val="18957158"/>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9389053"/>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Publication'!$E$85:$P$85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Publication'!$E$86:$P$86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Publication'!$E$87:$P$87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6396695"/>
        <c:axId val="59134800"/>
      </c:barChart>
      <c:catAx>
        <c:axId val="3639669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9134800"/>
        <c:crosses val="autoZero"/>
        <c:auto val="1"/>
        <c:lblOffset val="100"/>
        <c:noMultiLvlLbl val="0"/>
      </c:catAx>
      <c:valAx>
        <c:axId val="59134800"/>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396695"/>
        <c:crossesAt val="1"/>
        <c:crossBetween val="between"/>
        <c:dispUnits/>
      </c:valAx>
      <c:spPr>
        <a:noFill/>
        <a:ln w="12700">
          <a:solidFill>
            <a:srgbClr val="808080"/>
          </a:solidFill>
        </a:ln>
      </c:spPr>
    </c:plotArea>
    <c:legend>
      <c:legendPos val="b"/>
      <c:layout>
        <c:manualLayout>
          <c:xMode val="edge"/>
          <c:yMode val="edge"/>
          <c:x val="0.0987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104"/>
          <c:y val="0.07575"/>
          <c:w val="0.896"/>
          <c:h val="0.654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Publication'!$E$90:$P$90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Publication'!$E$91:$P$91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Publication'!$E$92:$P$92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Publication'!$E$93:$P$93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2451153"/>
        <c:axId val="25189466"/>
      </c:lineChart>
      <c:catAx>
        <c:axId val="6245115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5189466"/>
        <c:crosses val="autoZero"/>
        <c:auto val="1"/>
        <c:lblOffset val="100"/>
        <c:noMultiLvlLbl val="0"/>
      </c:catAx>
      <c:valAx>
        <c:axId val="25189466"/>
        <c:scaling>
          <c:orientation val="minMax"/>
          <c:max val="1.05"/>
          <c:min val="0.5"/>
        </c:scaling>
        <c:axPos val="l"/>
        <c:title>
          <c:tx>
            <c:rich>
              <a:bodyPr vert="horz" rot="-5400000" anchor="ctr"/>
              <a:lstStyle/>
              <a:p>
                <a:pPr algn="ctr">
                  <a:defRPr/>
                </a:pPr>
                <a:r>
                  <a:rPr lang="en-US" cap="none" sz="950"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2451153"/>
        <c:crossesAt val="1"/>
        <c:crossBetween val="between"/>
        <c:dispUnits/>
      </c:valAx>
      <c:spPr>
        <a:noFill/>
        <a:ln w="12700">
          <a:solidFill>
            <a:srgbClr val="808080"/>
          </a:solidFill>
        </a:ln>
      </c:spPr>
    </c:plotArea>
    <c:legend>
      <c:legendPos val="b"/>
      <c:layout>
        <c:manualLayout>
          <c:xMode val="edge"/>
          <c:yMode val="edge"/>
          <c:x val="0.2525"/>
          <c:y val="0.771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25378603"/>
        <c:axId val="27080836"/>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Publication'!$E$88:$P$88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5378603"/>
        <c:axId val="27080836"/>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5378603"/>
        <c:axId val="27080836"/>
      </c:lineChart>
      <c:catAx>
        <c:axId val="2537860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7080836"/>
        <c:crosses val="autoZero"/>
        <c:auto val="0"/>
        <c:lblOffset val="100"/>
        <c:tickLblSkip val="1"/>
        <c:noMultiLvlLbl val="0"/>
      </c:catAx>
      <c:valAx>
        <c:axId val="27080836"/>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378603"/>
        <c:crossesAt val="1"/>
        <c:crossBetween val="between"/>
        <c:dispUnits/>
      </c:valAx>
      <c:spPr>
        <a:solidFill>
          <a:srgbClr val="FFFFFF"/>
        </a:solidFill>
      </c:spPr>
    </c:plotArea>
    <c:legend>
      <c:legendPos val="b"/>
      <c:legendEntry>
        <c:idx val="0"/>
        <c:delete val="1"/>
      </c:legendEntry>
      <c:layout>
        <c:manualLayout>
          <c:xMode val="edge"/>
          <c:yMode val="edge"/>
          <c:x val="0.1307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66333687"/>
        <c:axId val="60132272"/>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Forecasting'!$J$69:$J$77</c:f>
              <c:numCache>
                <c:ptCount val="9"/>
                <c:pt idx="0">
                  <c:v>0.03269479569935114</c:v>
                </c:pt>
                <c:pt idx="1">
                  <c:v>0.0337394327311189</c:v>
                </c:pt>
                <c:pt idx="2">
                  <c:v>0.03132118849246266</c:v>
                </c:pt>
                <c:pt idx="3">
                  <c:v>0.031862208724126415</c:v>
                </c:pt>
                <c:pt idx="4">
                  <c:v>0.03245122592025576</c:v>
                </c:pt>
                <c:pt idx="5">
                  <c:v>0.032908613115666174</c:v>
                </c:pt>
                <c:pt idx="6">
                  <c:v>0.03379684090882192</c:v>
                </c:pt>
                <c:pt idx="7">
                  <c:v>0.03421093629355612</c:v>
                </c:pt>
                <c:pt idx="8">
                  <c:v>0.03548578339332921</c:v>
                </c:pt>
              </c:numCache>
            </c:numRef>
          </c:val>
          <c:smooth val="0"/>
        </c:ser>
        <c:axId val="66333687"/>
        <c:axId val="60132272"/>
      </c:lineChart>
      <c:catAx>
        <c:axId val="6633368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0132272"/>
        <c:crosses val="autoZero"/>
        <c:auto val="0"/>
        <c:lblOffset val="100"/>
        <c:tickLblSkip val="1"/>
        <c:noMultiLvlLbl val="0"/>
      </c:catAx>
      <c:valAx>
        <c:axId val="60132272"/>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66333687"/>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42400933"/>
        <c:axId val="46064078"/>
      </c:scatterChart>
      <c:valAx>
        <c:axId val="42400933"/>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6064078"/>
        <c:crosses val="autoZero"/>
        <c:crossBetween val="midCat"/>
        <c:dispUnits/>
        <c:majorUnit val="0.25"/>
      </c:valAx>
      <c:valAx>
        <c:axId val="46064078"/>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2400933"/>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Publication'!$E$83:$P$83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Publication'!$E$84:$P$84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1923519"/>
        <c:axId val="40202808"/>
      </c:lineChart>
      <c:catAx>
        <c:axId val="1192351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0202808"/>
        <c:crosses val="autoZero"/>
        <c:auto val="0"/>
        <c:lblOffset val="100"/>
        <c:tickLblSkip val="1"/>
        <c:noMultiLvlLbl val="0"/>
      </c:catAx>
      <c:valAx>
        <c:axId val="40202808"/>
        <c:scaling>
          <c:orientation val="minMax"/>
          <c:max val="62000"/>
          <c:min val="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923519"/>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05"/>
          <c:y val="0.919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575"/>
          <c:y val="0.09725"/>
          <c:w val="0.87075"/>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26280953"/>
        <c:axId val="35201986"/>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'Data Publication'!$E$94:$P$94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26280953"/>
        <c:axId val="35201986"/>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6280953"/>
        <c:axId val="35201986"/>
      </c:lineChart>
      <c:catAx>
        <c:axId val="2628095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5201986"/>
        <c:crosses val="autoZero"/>
        <c:auto val="0"/>
        <c:lblOffset val="100"/>
        <c:tickLblSkip val="1"/>
        <c:noMultiLvlLbl val="0"/>
      </c:catAx>
      <c:valAx>
        <c:axId val="35201986"/>
        <c:scaling>
          <c:orientation val="minMax"/>
          <c:min val="0.7"/>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280953"/>
        <c:crossesAt val="1"/>
        <c:crossBetween val="between"/>
        <c:dispUnits/>
      </c:valAx>
      <c:spPr>
        <a:solidFill>
          <a:srgbClr val="FFFFFF"/>
        </a:solidFill>
      </c:spPr>
    </c:plotArea>
    <c:legend>
      <c:legendPos val="b"/>
      <c:legendEntry>
        <c:idx val="0"/>
        <c:delete val="1"/>
      </c:legendEntry>
      <c:layout>
        <c:manualLayout>
          <c:xMode val="edge"/>
          <c:yMode val="edge"/>
          <c:x val="0.1417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'[2]Graph Data'!$D$109:$D$113</c:f>
              <c:numCache>
                <c:ptCount val="5"/>
                <c:pt idx="0">
                  <c:v>-25</c:v>
                </c:pt>
                <c:pt idx="1">
                  <c:v>-20</c:v>
                </c:pt>
                <c:pt idx="2">
                  <c:v>0</c:v>
                </c:pt>
                <c:pt idx="3">
                  <c:v>20</c:v>
                </c:pt>
                <c:pt idx="4">
                  <c:v>25</c:v>
                </c:pt>
              </c:numCache>
            </c:numRef>
          </c:xVal>
          <c:yVal>
            <c:numRef>
              <c:f>'[2]Graph Data'!$E$109:$E$113</c:f>
              <c:numCache>
                <c:ptCount val="5"/>
                <c:pt idx="0">
                  <c:v>-4</c:v>
                </c:pt>
                <c:pt idx="1">
                  <c:v>-4</c:v>
                </c:pt>
                <c:pt idx="2">
                  <c:v>0</c:v>
                </c:pt>
                <c:pt idx="3">
                  <c:v>5</c:v>
                </c:pt>
                <c:pt idx="4">
                  <c:v>5</c:v>
                </c:pt>
              </c:numCache>
            </c:numRef>
          </c:yVal>
          <c:smooth val="1"/>
        </c:ser>
        <c:axId val="48382419"/>
        <c:axId val="32788588"/>
      </c:scatterChart>
      <c:valAx>
        <c:axId val="48382419"/>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788588"/>
        <c:crosses val="autoZero"/>
        <c:crossBetween val="midCat"/>
        <c:dispUnits/>
      </c:valAx>
      <c:valAx>
        <c:axId val="32788588"/>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8382419"/>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26661837"/>
        <c:axId val="38629942"/>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12125159"/>
        <c:axId val="42017568"/>
      </c:lineChart>
      <c:catAx>
        <c:axId val="2666183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8629942"/>
        <c:crosses val="autoZero"/>
        <c:auto val="0"/>
        <c:lblOffset val="100"/>
        <c:tickLblSkip val="1"/>
        <c:noMultiLvlLbl val="0"/>
      </c:catAx>
      <c:valAx>
        <c:axId val="38629942"/>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661837"/>
        <c:crossesAt val="1"/>
        <c:crossBetween val="between"/>
        <c:dispUnits/>
      </c:valAx>
      <c:catAx>
        <c:axId val="12125159"/>
        <c:scaling>
          <c:orientation val="minMax"/>
        </c:scaling>
        <c:axPos val="b"/>
        <c:delete val="1"/>
        <c:majorTickMark val="in"/>
        <c:minorTickMark val="none"/>
        <c:tickLblPos val="nextTo"/>
        <c:crossAx val="42017568"/>
        <c:crosses val="autoZero"/>
        <c:auto val="0"/>
        <c:lblOffset val="100"/>
        <c:tickLblSkip val="1"/>
        <c:noMultiLvlLbl val="0"/>
      </c:catAx>
      <c:valAx>
        <c:axId val="42017568"/>
        <c:scaling>
          <c:orientation val="minMax"/>
        </c:scaling>
        <c:axPos val="l"/>
        <c:delete val="1"/>
        <c:majorTickMark val="in"/>
        <c:minorTickMark val="none"/>
        <c:tickLblPos val="nextTo"/>
        <c:crossAx val="12125159"/>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Shrinkage!$C$111:$N$111</c:f>
              <c:numCache/>
            </c:numRef>
          </c:val>
        </c:ser>
        <c:axId val="42613793"/>
        <c:axId val="47979818"/>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29165179"/>
        <c:axId val="61160020"/>
      </c:lineChart>
      <c:catAx>
        <c:axId val="4261379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7979818"/>
        <c:crosses val="autoZero"/>
        <c:auto val="0"/>
        <c:lblOffset val="100"/>
        <c:tickLblSkip val="1"/>
        <c:noMultiLvlLbl val="0"/>
      </c:catAx>
      <c:valAx>
        <c:axId val="47979818"/>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613793"/>
        <c:crossesAt val="1"/>
        <c:crossBetween val="between"/>
        <c:dispUnits/>
      </c:valAx>
      <c:catAx>
        <c:axId val="29165179"/>
        <c:scaling>
          <c:orientation val="minMax"/>
        </c:scaling>
        <c:axPos val="b"/>
        <c:delete val="1"/>
        <c:majorTickMark val="in"/>
        <c:minorTickMark val="none"/>
        <c:tickLblPos val="nextTo"/>
        <c:crossAx val="61160020"/>
        <c:crosses val="autoZero"/>
        <c:auto val="0"/>
        <c:lblOffset val="100"/>
        <c:tickLblSkip val="1"/>
        <c:noMultiLvlLbl val="0"/>
      </c:catAx>
      <c:valAx>
        <c:axId val="61160020"/>
        <c:scaling>
          <c:orientation val="minMax"/>
        </c:scaling>
        <c:axPos val="l"/>
        <c:delete val="1"/>
        <c:majorTickMark val="in"/>
        <c:minorTickMark val="none"/>
        <c:tickLblPos val="nextTo"/>
        <c:crossAx val="29165179"/>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
          <c:y val="0.07725"/>
          <c:w val="0.96925"/>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13569269"/>
        <c:axId val="55014558"/>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13569269"/>
        <c:axId val="55014558"/>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13569269"/>
        <c:axId val="55014558"/>
      </c:lineChart>
      <c:catAx>
        <c:axId val="1356926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5014558"/>
        <c:crosses val="autoZero"/>
        <c:auto val="0"/>
        <c:lblOffset val="100"/>
        <c:tickLblSkip val="1"/>
        <c:noMultiLvlLbl val="0"/>
      </c:catAx>
      <c:valAx>
        <c:axId val="55014558"/>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569269"/>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25368975"/>
        <c:axId val="26994184"/>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Margin'!$C$57:$C$68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25368975"/>
        <c:axId val="26994184"/>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25368975"/>
        <c:axId val="26994184"/>
      </c:lineChart>
      <c:catAx>
        <c:axId val="25368975"/>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6994184"/>
        <c:crosses val="autoZero"/>
        <c:auto val="1"/>
        <c:lblOffset val="100"/>
        <c:noMultiLvlLbl val="0"/>
      </c:catAx>
      <c:valAx>
        <c:axId val="26994184"/>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368975"/>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435"/>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'Ops Margin'!$E$57:$E$68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1621065"/>
        <c:axId val="39045266"/>
      </c:barChart>
      <c:catAx>
        <c:axId val="41621065"/>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39045266"/>
        <c:crosses val="autoZero"/>
        <c:auto val="1"/>
        <c:lblOffset val="100"/>
        <c:noMultiLvlLbl val="0"/>
      </c:catAx>
      <c:valAx>
        <c:axId val="39045266"/>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4162106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15863075"/>
        <c:axId val="8549948"/>
      </c:scatterChart>
      <c:valAx>
        <c:axId val="15863075"/>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8549948"/>
        <c:crosses val="autoZero"/>
        <c:crossBetween val="midCat"/>
        <c:dispUnits/>
        <c:majorUnit val="1"/>
      </c:valAx>
      <c:valAx>
        <c:axId val="8549948"/>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15863075"/>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4319537"/>
        <c:axId val="38875834"/>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673.3333333333334</c:v>
                </c:pt>
                <c:pt idx="4">
                  <c:v>1000.6666666666666</c:v>
                </c:pt>
                <c:pt idx="5">
                  <c:v>1607</c:v>
                </c:pt>
                <c:pt idx="6">
                  <c:v>1728.6666666666667</c:v>
                </c:pt>
                <c:pt idx="7">
                  <c:v>1595.6666666666667</c:v>
                </c:pt>
                <c:pt idx="8">
                  <c:v>2697</c:v>
                </c:pt>
                <c:pt idx="9">
                  <c:v>0</c:v>
                </c:pt>
                <c:pt idx="10">
                  <c:v>0</c:v>
                </c:pt>
                <c:pt idx="11">
                  <c:v>0</c:v>
                </c:pt>
              </c:numCache>
            </c:numRef>
          </c:val>
        </c:ser>
        <c:axId val="4319537"/>
        <c:axId val="38875834"/>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4319537"/>
        <c:axId val="38875834"/>
      </c:lineChart>
      <c:catAx>
        <c:axId val="431953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8875834"/>
        <c:crosses val="autoZero"/>
        <c:auto val="0"/>
        <c:lblOffset val="100"/>
        <c:tickLblSkip val="1"/>
        <c:noMultiLvlLbl val="0"/>
      </c:catAx>
      <c:valAx>
        <c:axId val="38875834"/>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319537"/>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25"/>
          <c:y val="0.1215"/>
          <c:w val="0.9275"/>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9840669"/>
        <c:axId val="21457158"/>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Balancing'!$F$84:$F$92</c:f>
              <c:numCache>
                <c:ptCount val="9"/>
                <c:pt idx="0">
                  <c:v>0</c:v>
                </c:pt>
                <c:pt idx="1">
                  <c:v>0</c:v>
                </c:pt>
                <c:pt idx="2">
                  <c:v>0</c:v>
                </c:pt>
                <c:pt idx="3">
                  <c:v>0</c:v>
                </c:pt>
                <c:pt idx="4">
                  <c:v>0</c:v>
                </c:pt>
                <c:pt idx="5">
                  <c:v>0</c:v>
                </c:pt>
                <c:pt idx="6">
                  <c:v>0</c:v>
                </c:pt>
                <c:pt idx="7">
                  <c:v>0</c:v>
                </c:pt>
                <c:pt idx="8">
                  <c:v>0</c:v>
                </c:pt>
              </c:numCache>
            </c:numRef>
          </c:val>
          <c:smooth val="0"/>
        </c:ser>
        <c:axId val="58896695"/>
        <c:axId val="60308208"/>
      </c:lineChart>
      <c:catAx>
        <c:axId val="984066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1457158"/>
        <c:crosses val="autoZero"/>
        <c:auto val="0"/>
        <c:lblOffset val="100"/>
        <c:tickLblSkip val="1"/>
        <c:noMultiLvlLbl val="0"/>
      </c:catAx>
      <c:valAx>
        <c:axId val="21457158"/>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9840669"/>
        <c:crossesAt val="1"/>
        <c:crossBetween val="between"/>
        <c:dispUnits/>
      </c:valAx>
      <c:catAx>
        <c:axId val="58896695"/>
        <c:scaling>
          <c:orientation val="minMax"/>
        </c:scaling>
        <c:axPos val="b"/>
        <c:delete val="1"/>
        <c:majorTickMark val="in"/>
        <c:minorTickMark val="none"/>
        <c:tickLblPos val="nextTo"/>
        <c:crossAx val="60308208"/>
        <c:crosses val="autoZero"/>
        <c:auto val="0"/>
        <c:lblOffset val="100"/>
        <c:tickLblSkip val="1"/>
        <c:noMultiLvlLbl val="0"/>
      </c:catAx>
      <c:valAx>
        <c:axId val="60308208"/>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8896695"/>
        <c:crosses val="max"/>
        <c:crossBetween val="between"/>
        <c:dispUnits/>
      </c:valAx>
      <c:spPr>
        <a:noFill/>
      </c:spPr>
    </c:plotArea>
    <c:legend>
      <c:legendPos val="b"/>
      <c:layout>
        <c:manualLayout>
          <c:xMode val="edge"/>
          <c:yMode val="edge"/>
          <c:x val="0.2087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25"/>
          <c:y val="0.123"/>
          <c:w val="0.9502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Balancing'!$H$84:$H$95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Balancing'!$I$84:$I$95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5902961"/>
        <c:axId val="53126650"/>
      </c:lineChart>
      <c:catAx>
        <c:axId val="5902961"/>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3126650"/>
        <c:crosses val="autoZero"/>
        <c:auto val="0"/>
        <c:lblOffset val="100"/>
        <c:tickLblSkip val="1"/>
        <c:noMultiLvlLbl val="0"/>
      </c:catAx>
      <c:valAx>
        <c:axId val="53126650"/>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5902961"/>
        <c:crossesAt val="1"/>
        <c:crossBetween val="between"/>
        <c:dispUnits/>
      </c:valAx>
      <c:spPr>
        <a:noFill/>
      </c:spPr>
    </c:plotArea>
    <c:legend>
      <c:legendPos val="b"/>
      <c:layout>
        <c:manualLayout>
          <c:xMode val="edge"/>
          <c:yMode val="edge"/>
          <c:x val="0.149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Balancing'!$L$84:$L$95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8377803"/>
        <c:axId val="8291364"/>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Balancing'!$B$84:$B$85</c:f>
              <c:strCache>
                <c:ptCount val="2"/>
                <c:pt idx="0">
                  <c:v>0</c:v>
                </c:pt>
                <c:pt idx="1">
                  <c:v>0</c:v>
                </c:pt>
              </c:strCache>
            </c:strRef>
          </c:cat>
          <c:val>
            <c:numRef>
              <c:f>'Residual Balancing'!$M$84:$M$92</c:f>
              <c:numCache>
                <c:ptCount val="9"/>
                <c:pt idx="0">
                  <c:v>0</c:v>
                </c:pt>
                <c:pt idx="1">
                  <c:v>0</c:v>
                </c:pt>
                <c:pt idx="2">
                  <c:v>0</c:v>
                </c:pt>
                <c:pt idx="3">
                  <c:v>0</c:v>
                </c:pt>
                <c:pt idx="4">
                  <c:v>0</c:v>
                </c:pt>
                <c:pt idx="5">
                  <c:v>0</c:v>
                </c:pt>
                <c:pt idx="6">
                  <c:v>0</c:v>
                </c:pt>
                <c:pt idx="7">
                  <c:v>0</c:v>
                </c:pt>
                <c:pt idx="8">
                  <c:v>0</c:v>
                </c:pt>
              </c:numCache>
            </c:numRef>
          </c:val>
          <c:smooth val="0"/>
        </c:ser>
        <c:axId val="7513413"/>
        <c:axId val="511854"/>
      </c:lineChart>
      <c:catAx>
        <c:axId val="8377803"/>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8291364"/>
        <c:crosses val="autoZero"/>
        <c:auto val="0"/>
        <c:lblOffset val="100"/>
        <c:tickLblSkip val="1"/>
        <c:noMultiLvlLbl val="0"/>
      </c:catAx>
      <c:valAx>
        <c:axId val="8291364"/>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8377803"/>
        <c:crossesAt val="1"/>
        <c:crossBetween val="between"/>
        <c:dispUnits/>
      </c:valAx>
      <c:catAx>
        <c:axId val="7513413"/>
        <c:scaling>
          <c:orientation val="minMax"/>
        </c:scaling>
        <c:axPos val="b"/>
        <c:delete val="1"/>
        <c:majorTickMark val="in"/>
        <c:minorTickMark val="none"/>
        <c:tickLblPos val="nextTo"/>
        <c:crossAx val="511854"/>
        <c:crosses val="autoZero"/>
        <c:auto val="0"/>
        <c:lblOffset val="100"/>
        <c:tickLblSkip val="1"/>
        <c:noMultiLvlLbl val="0"/>
      </c:catAx>
      <c:valAx>
        <c:axId val="511854"/>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7513413"/>
        <c:crosses val="max"/>
        <c:crossBetween val="between"/>
        <c:dispUnits/>
      </c:valAx>
      <c:spPr>
        <a:noFill/>
      </c:spPr>
    </c:plotArea>
    <c:legend>
      <c:legendPos val="b"/>
      <c:layout>
        <c:manualLayout>
          <c:xMode val="edge"/>
          <c:yMode val="edge"/>
          <c:x val="0.18675"/>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Balancing'!$O$84:$O$95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Balancing'!$P$84:$P$95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4606687"/>
        <c:axId val="41460184"/>
      </c:lineChart>
      <c:catAx>
        <c:axId val="4606687"/>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41460184"/>
        <c:crosses val="autoZero"/>
        <c:auto val="0"/>
        <c:lblOffset val="100"/>
        <c:tickLblSkip val="1"/>
        <c:noMultiLvlLbl val="0"/>
      </c:catAx>
      <c:valAx>
        <c:axId val="41460184"/>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4606687"/>
        <c:crossesAt val="1"/>
        <c:crossBetween val="between"/>
        <c:dispUnits/>
      </c:valAx>
      <c:spPr>
        <a:noFill/>
      </c:spPr>
    </c:plotArea>
    <c:legend>
      <c:legendPos val="b"/>
      <c:layout>
        <c:manualLayout>
          <c:xMode val="edge"/>
          <c:yMode val="edge"/>
          <c:x val="0.023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Balancing'!$F$100:$F$111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Balancing'!$G$100:$G$111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37597337"/>
        <c:axId val="2831714"/>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Balancing'!$H$100:$H$111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Balancing'!$I$100:$I$111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25485427"/>
        <c:axId val="28042252"/>
      </c:lineChart>
      <c:catAx>
        <c:axId val="37597337"/>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2831714"/>
        <c:crosses val="autoZero"/>
        <c:auto val="0"/>
        <c:lblOffset val="100"/>
        <c:tickLblSkip val="1"/>
        <c:noMultiLvlLbl val="0"/>
      </c:catAx>
      <c:valAx>
        <c:axId val="2831714"/>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37597337"/>
        <c:crossesAt val="1"/>
        <c:crossBetween val="between"/>
        <c:dispUnits/>
      </c:valAx>
      <c:catAx>
        <c:axId val="25485427"/>
        <c:scaling>
          <c:orientation val="minMax"/>
        </c:scaling>
        <c:axPos val="b"/>
        <c:delete val="1"/>
        <c:majorTickMark val="in"/>
        <c:minorTickMark val="none"/>
        <c:tickLblPos val="nextTo"/>
        <c:crossAx val="28042252"/>
        <c:crossesAt val="0"/>
        <c:auto val="0"/>
        <c:lblOffset val="100"/>
        <c:tickLblSkip val="1"/>
        <c:noMultiLvlLbl val="0"/>
      </c:catAx>
      <c:valAx>
        <c:axId val="28042252"/>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5485427"/>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5"/>
          <c:y val="0.14975"/>
          <c:w val="0.9422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Balancing'!$C$100:$C$111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Balancing'!$E$100:$E$111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51053677"/>
        <c:axId val="56829910"/>
      </c:barChart>
      <c:catAx>
        <c:axId val="51053677"/>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56829910"/>
        <c:crosses val="autoZero"/>
        <c:auto val="0"/>
        <c:lblOffset val="100"/>
        <c:tickLblSkip val="1"/>
        <c:noMultiLvlLbl val="0"/>
      </c:catAx>
      <c:valAx>
        <c:axId val="56829910"/>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1053677"/>
        <c:crossesAt val="1"/>
        <c:crossBetween val="between"/>
        <c:dispUnits>
          <c:builtInUnit val="millions"/>
        </c:dispUnits>
      </c:valAx>
      <c:spPr>
        <a:noFill/>
      </c:spPr>
    </c:plotArea>
    <c:legend>
      <c:legendPos val="b"/>
      <c:layout>
        <c:manualLayout>
          <c:xMode val="edge"/>
          <c:yMode val="edge"/>
          <c:x val="0.283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375"/>
          <c:y val="0.12275"/>
          <c:w val="0.931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41707143"/>
        <c:axId val="39819968"/>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41707143"/>
        <c:axId val="39819968"/>
      </c:lineChart>
      <c:catAx>
        <c:axId val="4170714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9819968"/>
        <c:crosses val="autoZero"/>
        <c:auto val="1"/>
        <c:lblOffset val="100"/>
        <c:noMultiLvlLbl val="0"/>
      </c:catAx>
      <c:valAx>
        <c:axId val="39819968"/>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41707143"/>
        <c:crossesAt val="1"/>
        <c:crossBetween val="between"/>
        <c:dispUnits/>
      </c:valAx>
      <c:spPr>
        <a:solidFill>
          <a:srgbClr val="FFFFFF"/>
        </a:solidFill>
      </c:spPr>
    </c:plotArea>
    <c:legend>
      <c:legendPos val="b"/>
      <c:legendEntry>
        <c:idx val="0"/>
        <c:delete val="1"/>
      </c:legendEntry>
      <c:layout>
        <c:manualLayout>
          <c:xMode val="edge"/>
          <c:yMode val="edge"/>
          <c:x val="0.1345"/>
          <c:y val="0.87425"/>
          <c:w val="0.806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22835393"/>
        <c:axId val="4191946"/>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22835393"/>
        <c:axId val="4191946"/>
      </c:lineChart>
      <c:catAx>
        <c:axId val="2283539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191946"/>
        <c:crosses val="autoZero"/>
        <c:auto val="1"/>
        <c:lblOffset val="100"/>
        <c:noMultiLvlLbl val="0"/>
      </c:catAx>
      <c:valAx>
        <c:axId val="4191946"/>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22835393"/>
        <c:crossesAt val="1"/>
        <c:crossBetween val="between"/>
        <c:dispUnits/>
      </c:valAx>
      <c:spPr>
        <a:solidFill>
          <a:srgbClr val="FFFFFF"/>
        </a:solidFill>
      </c:spPr>
    </c:plotArea>
    <c:legend>
      <c:legendPos val="b"/>
      <c:legendEntry>
        <c:idx val="0"/>
        <c:delete val="1"/>
      </c:legendEntry>
      <c:layout>
        <c:manualLayout>
          <c:xMode val="edge"/>
          <c:yMode val="edge"/>
          <c:x val="0.10375"/>
          <c:y val="0.87425"/>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85"/>
          <c:y val="0.12225"/>
          <c:w val="0.8915"/>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37727515"/>
        <c:axId val="4003316"/>
      </c:scatterChart>
      <c:valAx>
        <c:axId val="37727515"/>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003316"/>
        <c:crosses val="autoZero"/>
        <c:crossBetween val="midCat"/>
        <c:dispUnits/>
        <c:majorUnit val="0.1"/>
        <c:minorUnit val="0.1"/>
      </c:valAx>
      <c:valAx>
        <c:axId val="4003316"/>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7727515"/>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
          <c:y val="0.078"/>
          <c:w val="0.963"/>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36029845"/>
        <c:axId val="55833150"/>
      </c:scatterChart>
      <c:valAx>
        <c:axId val="36029845"/>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833150"/>
        <c:crosses val="autoZero"/>
        <c:crossBetween val="midCat"/>
        <c:dispUnits/>
        <c:majorUnit val="2.5"/>
      </c:valAx>
      <c:valAx>
        <c:axId val="55833150"/>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6029845"/>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14338187"/>
        <c:axId val="61934820"/>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0.9212499999999999</c:v>
                </c:pt>
                <c:pt idx="4">
                  <c:v>0.91425</c:v>
                </c:pt>
                <c:pt idx="5">
                  <c:v>0.8485</c:v>
                </c:pt>
                <c:pt idx="6">
                  <c:v>0.73675</c:v>
                </c:pt>
                <c:pt idx="7">
                  <c:v>0.7692500000000001</c:v>
                </c:pt>
                <c:pt idx="8">
                  <c:v>0.7585</c:v>
                </c:pt>
                <c:pt idx="9">
                  <c:v>0</c:v>
                </c:pt>
                <c:pt idx="10">
                  <c:v>0</c:v>
                </c:pt>
                <c:pt idx="11">
                  <c:v>0</c:v>
                </c:pt>
              </c:numCache>
            </c:numRef>
          </c:val>
        </c:ser>
        <c:axId val="14338187"/>
        <c:axId val="61934820"/>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14338187"/>
        <c:axId val="61934820"/>
      </c:lineChart>
      <c:catAx>
        <c:axId val="1433818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1934820"/>
        <c:crosses val="autoZero"/>
        <c:auto val="0"/>
        <c:lblOffset val="100"/>
        <c:tickLblSkip val="1"/>
        <c:noMultiLvlLbl val="0"/>
      </c:catAx>
      <c:valAx>
        <c:axId val="61934820"/>
        <c:scaling>
          <c:orientation val="minMax"/>
          <c:min val="0.7"/>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4338187"/>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Emissions'!$C$62:$C$73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2736303"/>
        <c:axId val="26191272"/>
      </c:barChart>
      <c:catAx>
        <c:axId val="32736303"/>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6191272"/>
        <c:crosses val="autoZero"/>
        <c:auto val="0"/>
        <c:lblOffset val="100"/>
        <c:tickLblSkip val="1"/>
        <c:noMultiLvlLbl val="0"/>
      </c:catAx>
      <c:valAx>
        <c:axId val="26191272"/>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273630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34394857"/>
        <c:axId val="41118258"/>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'Greenhouse Gas Emissions'!$D$62:$D$73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34394857"/>
        <c:axId val="41118258"/>
      </c:barChart>
      <c:catAx>
        <c:axId val="34394857"/>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41118258"/>
        <c:crosses val="autoZero"/>
        <c:auto val="0"/>
        <c:lblOffset val="100"/>
        <c:tickLblSkip val="1"/>
        <c:noMultiLvlLbl val="0"/>
      </c:catAx>
      <c:valAx>
        <c:axId val="41118258"/>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394857"/>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34520003"/>
        <c:axId val="42244572"/>
      </c:scatterChart>
      <c:valAx>
        <c:axId val="34520003"/>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2244572"/>
        <c:crosses val="autoZero"/>
        <c:crossBetween val="midCat"/>
        <c:dispUnits/>
        <c:majorUnit val="500"/>
        <c:minorUnit val="12.6"/>
      </c:valAx>
      <c:valAx>
        <c:axId val="4224457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520003"/>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Gas'!$C$64:$C$75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44656829"/>
        <c:axId val="66367142"/>
      </c:barChart>
      <c:catAx>
        <c:axId val="4465682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6367142"/>
        <c:crosses val="autoZero"/>
        <c:auto val="0"/>
        <c:lblOffset val="100"/>
        <c:tickLblSkip val="1"/>
        <c:noMultiLvlLbl val="0"/>
      </c:catAx>
      <c:valAx>
        <c:axId val="66367142"/>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44656829"/>
        <c:crossesAt val="1"/>
        <c:crossBetween val="between"/>
        <c:dispUnits/>
      </c:valAx>
      <c:spPr>
        <a:noFill/>
        <a:ln w="12700">
          <a:solidFill>
            <a:srgbClr val="808080"/>
          </a:solidFill>
        </a:ln>
      </c:spPr>
    </c:plotArea>
    <c:legend>
      <c:legendPos val="b"/>
      <c:layout>
        <c:manualLayout>
          <c:xMode val="edge"/>
          <c:yMode val="edge"/>
          <c:x val="0.362"/>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60433367"/>
        <c:axId val="7029392"/>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'Unaccounted for Gas'!$D$64:$D$75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60433367"/>
        <c:axId val="7029392"/>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60433367"/>
        <c:axId val="7029392"/>
      </c:lineChart>
      <c:catAx>
        <c:axId val="6043336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7029392"/>
        <c:crosses val="autoZero"/>
        <c:auto val="0"/>
        <c:lblOffset val="0"/>
        <c:tickLblSkip val="1"/>
        <c:noMultiLvlLbl val="0"/>
      </c:catAx>
      <c:valAx>
        <c:axId val="7029392"/>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0433367"/>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63264529"/>
        <c:axId val="32509850"/>
      </c:scatterChart>
      <c:valAx>
        <c:axId val="63264529"/>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509850"/>
        <c:crosses val="autoZero"/>
        <c:crossBetween val="midCat"/>
        <c:dispUnits/>
        <c:majorUnit val="500"/>
      </c:valAx>
      <c:valAx>
        <c:axId val="32509850"/>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3264529"/>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20542469"/>
        <c:axId val="50664494"/>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pt idx="3">
                  <c:v>1.03</c:v>
                </c:pt>
                <c:pt idx="4">
                  <c:v>1.02</c:v>
                </c:pt>
                <c:pt idx="5">
                  <c:v>2.79</c:v>
                </c:pt>
                <c:pt idx="6">
                  <c:v>3.23</c:v>
                </c:pt>
                <c:pt idx="7">
                  <c:v>1.05</c:v>
                </c:pt>
                <c:pt idx="8">
                  <c:v>2.4</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20542469"/>
        <c:axId val="50664494"/>
      </c:lineChart>
      <c:dateAx>
        <c:axId val="20542469"/>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50664494"/>
        <c:crosses val="autoZero"/>
        <c:auto val="0"/>
        <c:noMultiLvlLbl val="0"/>
      </c:dateAx>
      <c:valAx>
        <c:axId val="50664494"/>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75" b="0" i="0" u="none" baseline="0">
                <a:latin typeface="Arial"/>
                <a:ea typeface="Arial"/>
                <a:cs typeface="Arial"/>
              </a:defRPr>
            </a:pPr>
          </a:p>
        </c:txPr>
        <c:crossAx val="20542469"/>
        <c:crossesAt val="1"/>
        <c:crossBetween val="between"/>
        <c:dispUnits/>
        <c:majorUnit val="0.5"/>
      </c:valAx>
      <c:spPr>
        <a:solidFill>
          <a:srgbClr val="FFFFFF"/>
        </a:solidFill>
      </c:spPr>
    </c:plotArea>
    <c:legend>
      <c:legendPos val="b"/>
      <c:legendEntry>
        <c:idx val="0"/>
        <c:delete val="1"/>
      </c:legendEntry>
      <c:layout>
        <c:manualLayout>
          <c:xMode val="edge"/>
          <c:yMode val="edge"/>
          <c:x val="0.24075"/>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53327263"/>
        <c:axId val="10183320"/>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pt idx="6">
                  <c:v>3.93</c:v>
                </c:pt>
                <c:pt idx="7">
                  <c:v>2.42</c:v>
                </c:pt>
                <c:pt idx="8">
                  <c:v>2.29</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53327263"/>
        <c:axId val="10183320"/>
      </c:lineChart>
      <c:dateAx>
        <c:axId val="5332726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0183320"/>
        <c:crosses val="autoZero"/>
        <c:auto val="0"/>
        <c:noMultiLvlLbl val="0"/>
      </c:dateAx>
      <c:valAx>
        <c:axId val="10183320"/>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53327263"/>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24541017"/>
        <c:axId val="19542562"/>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pt idx="3">
                  <c:v>1.29309829</c:v>
                </c:pt>
                <c:pt idx="4">
                  <c:v>1.28098</c:v>
                </c:pt>
                <c:pt idx="5">
                  <c:v>1.218</c:v>
                </c:pt>
                <c:pt idx="6">
                  <c:v>1.309</c:v>
                </c:pt>
                <c:pt idx="7">
                  <c:v>1.29</c:v>
                </c:pt>
                <c:pt idx="8">
                  <c:v>1.31</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numCache>
            </c:numRef>
          </c:val>
        </c:ser>
        <c:overlap val="100"/>
        <c:axId val="24541017"/>
        <c:axId val="19542562"/>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24541017"/>
        <c:axId val="19542562"/>
      </c:lineChart>
      <c:dateAx>
        <c:axId val="24541017"/>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19542562"/>
        <c:crosses val="autoZero"/>
        <c:auto val="0"/>
        <c:noMultiLvlLbl val="0"/>
      </c:dateAx>
      <c:valAx>
        <c:axId val="19542562"/>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24541017"/>
        <c:crossesAt val="1"/>
        <c:crossBetween val="between"/>
        <c:dispUnits/>
      </c:valAx>
      <c:spPr>
        <a:noFill/>
        <a:ln w="12700">
          <a:solidFill>
            <a:srgbClr val="808080"/>
          </a:solidFill>
        </a:ln>
      </c:spPr>
    </c:plotArea>
    <c:legend>
      <c:legendPos val="b"/>
      <c:legendEntry>
        <c:idx val="0"/>
        <c:delete val="1"/>
      </c:legendEntry>
      <c:layout>
        <c:manualLayout>
          <c:xMode val="edge"/>
          <c:yMode val="edge"/>
          <c:x val="0.093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9.632580986502395</c:v>
                </c:pt>
                <c:pt idx="1">
                  <c:v>19.26516197300479</c:v>
                </c:pt>
                <c:pt idx="2">
                  <c:v>28.897742959507184</c:v>
                </c:pt>
                <c:pt idx="3">
                  <c:v>32.83826681353573</c:v>
                </c:pt>
                <c:pt idx="4">
                  <c:v>36.77879066756428</c:v>
                </c:pt>
                <c:pt idx="5">
                  <c:v>40.71931452159283</c:v>
                </c:pt>
                <c:pt idx="6">
                  <c:v>51.96091678939249</c:v>
                </c:pt>
                <c:pt idx="7">
                  <c:v>63.20251905719216</c:v>
                </c:pt>
                <c:pt idx="8">
                  <c:v>74.44412132499183</c:v>
                </c:pt>
                <c:pt idx="9">
                  <c:v>85.57098873576966</c:v>
                </c:pt>
                <c:pt idx="10">
                  <c:v>96.6978561465475</c:v>
                </c:pt>
                <c:pt idx="11">
                  <c:v>107.82472355732533</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41665331"/>
        <c:axId val="39443660"/>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13.27321278084369</c:v>
                </c:pt>
                <c:pt idx="1">
                  <c:v>24.464015073217276</c:v>
                </c:pt>
                <c:pt idx="2">
                  <c:v>33.01396968692947</c:v>
                </c:pt>
                <c:pt idx="3">
                  <c:v>40.10910328054479</c:v>
                </c:pt>
                <c:pt idx="4">
                  <c:v>46.466109278142696</c:v>
                </c:pt>
                <c:pt idx="5">
                  <c:v>39.73054140310438</c:v>
                </c:pt>
                <c:pt idx="6">
                  <c:v>48.60646910127937</c:v>
                </c:pt>
                <c:pt idx="7">
                  <c:v>59.22590086117561</c:v>
                </c:pt>
                <c:pt idx="8">
                  <c:v>70.37530372870633</c:v>
                </c:pt>
                <c:pt idx="9">
                  <c:v>0</c:v>
                </c:pt>
                <c:pt idx="10">
                  <c:v>0</c:v>
                </c:pt>
                <c:pt idx="11">
                  <c:v>0</c:v>
                </c:pt>
              </c:numCache>
            </c:numRef>
          </c:val>
        </c:ser>
        <c:axId val="41665331"/>
        <c:axId val="39443660"/>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11.299247653169061</c:v>
                </c:pt>
                <c:pt idx="1">
                  <c:v>22.598495306338123</c:v>
                </c:pt>
                <c:pt idx="2">
                  <c:v>33.897742959507184</c:v>
                </c:pt>
                <c:pt idx="3">
                  <c:v>39.504933480202396</c:v>
                </c:pt>
                <c:pt idx="4">
                  <c:v>45.11212400089761</c:v>
                </c:pt>
                <c:pt idx="5">
                  <c:v>50.71931452159283</c:v>
                </c:pt>
                <c:pt idx="6">
                  <c:v>63.62758345605916</c:v>
                </c:pt>
                <c:pt idx="7">
                  <c:v>76.53585239052549</c:v>
                </c:pt>
                <c:pt idx="8">
                  <c:v>89.44412132499183</c:v>
                </c:pt>
                <c:pt idx="9">
                  <c:v>102.23765540243633</c:v>
                </c:pt>
                <c:pt idx="10">
                  <c:v>115.03118947988084</c:v>
                </c:pt>
                <c:pt idx="11">
                  <c:v>127.82472355732533</c:v>
                </c:pt>
              </c:numCache>
            </c:numRef>
          </c:val>
          <c:smooth val="0"/>
        </c:ser>
        <c:axId val="41665331"/>
        <c:axId val="39443660"/>
      </c:lineChart>
      <c:catAx>
        <c:axId val="41665331"/>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9443660"/>
        <c:crosses val="autoZero"/>
        <c:auto val="0"/>
        <c:lblOffset val="100"/>
        <c:tickLblSkip val="1"/>
        <c:noMultiLvlLbl val="0"/>
      </c:catAx>
      <c:valAx>
        <c:axId val="39443660"/>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665331"/>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19448621"/>
        <c:axId val="40819862"/>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145.078292017228</c:v>
                </c:pt>
                <c:pt idx="1">
                  <c:v>330.18787371722806</c:v>
                </c:pt>
                <c:pt idx="2">
                  <c:v>546.415876526828</c:v>
                </c:pt>
                <c:pt idx="3">
                  <c:v>834.639795812828</c:v>
                </c:pt>
                <c:pt idx="4">
                  <c:v>1013.183813711138</c:v>
                </c:pt>
                <c:pt idx="5">
                  <c:v>1243.464821888717</c:v>
                </c:pt>
                <c:pt idx="6">
                  <c:v>1468.9005340987171</c:v>
                </c:pt>
                <c:pt idx="7">
                  <c:v>1742.8469136987171</c:v>
                </c:pt>
                <c:pt idx="8">
                  <c:v>2103.016913698717</c:v>
                </c:pt>
                <c:pt idx="9">
                  <c:v>0</c:v>
                </c:pt>
                <c:pt idx="10">
                  <c:v>0</c:v>
                </c:pt>
                <c:pt idx="11">
                  <c:v>0</c:v>
                </c:pt>
              </c:numCache>
            </c:numRef>
          </c:val>
        </c:ser>
        <c:axId val="19448621"/>
        <c:axId val="40819862"/>
      </c:barChart>
      <c:catAx>
        <c:axId val="1944862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0819862"/>
        <c:crosses val="autoZero"/>
        <c:auto val="0"/>
        <c:lblOffset val="100"/>
        <c:tickLblSkip val="1"/>
        <c:noMultiLvlLbl val="0"/>
      </c:catAx>
      <c:valAx>
        <c:axId val="40819862"/>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448621"/>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5159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cdr:x>
      <cdr:y>0.547</cdr:y>
    </cdr:from>
    <cdr:to>
      <cdr:x>0.3505</cdr:x>
      <cdr:y>0.70425</cdr:y>
    </cdr:to>
    <cdr:sp>
      <cdr:nvSpPr>
        <cdr:cNvPr id="1" name="TextBox 1"/>
        <cdr:cNvSpPr txBox="1">
          <a:spLocks noChangeArrowheads="1"/>
        </cdr:cNvSpPr>
      </cdr:nvSpPr>
      <cdr:spPr>
        <a:xfrm>
          <a:off x="1304925" y="1524000"/>
          <a:ext cx="847725"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0.213</cdr:x>
      <cdr:y>0.31925</cdr:y>
    </cdr:from>
    <cdr:to>
      <cdr:x>0.221</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0.11925</cdr:x>
      <cdr:y>0.623</cdr:y>
    </cdr:from>
    <cdr:to>
      <cdr:x>0.34025</cdr:x>
      <cdr:y>0.7965</cdr:y>
    </cdr:to>
    <cdr:sp>
      <cdr:nvSpPr>
        <cdr:cNvPr id="1" name="TextBox 1"/>
        <cdr:cNvSpPr txBox="1">
          <a:spLocks noChangeArrowheads="1"/>
        </cdr:cNvSpPr>
      </cdr:nvSpPr>
      <cdr:spPr>
        <a:xfrm>
          <a:off x="733425" y="1590675"/>
          <a:ext cx="1362075"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cdr:x>
      <cdr:y>0.292</cdr:y>
    </cdr:from>
    <cdr:to>
      <cdr:x>0.189</cdr:x>
      <cdr:y>0.623</cdr:y>
    </cdr:to>
    <cdr:sp>
      <cdr:nvSpPr>
        <cdr:cNvPr id="2" name="Line 2"/>
        <cdr:cNvSpPr>
          <a:spLocks/>
        </cdr:cNvSpPr>
      </cdr:nvSpPr>
      <cdr:spPr>
        <a:xfrm flipH="1" flipV="1">
          <a:off x="1162050"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53150"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53150"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86575"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96100"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96100"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72200"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115675" y="47625"/>
          <a:ext cx="1514475" cy="323850"/>
        </a:xfrm>
        <a:prstGeom prst="rect">
          <a:avLst/>
        </a:prstGeom>
        <a:noFill/>
        <a:ln w="9525" cmpd="sng">
          <a:noFill/>
        </a:ln>
      </xdr:spPr>
    </xdr:pic>
    <xdr:clientData/>
  </xdr:twoCellAnchor>
  <xdr:twoCellAnchor>
    <xdr:from>
      <xdr:col>1</xdr:col>
      <xdr:colOff>161925</xdr:colOff>
      <xdr:row>45</xdr:row>
      <xdr:rowOff>0</xdr:rowOff>
    </xdr:from>
    <xdr:to>
      <xdr:col>8</xdr:col>
      <xdr:colOff>180975</xdr:colOff>
      <xdr:row>68</xdr:row>
      <xdr:rowOff>152400</xdr:rowOff>
    </xdr:to>
    <xdr:graphicFrame>
      <xdr:nvGraphicFramePr>
        <xdr:cNvPr id="8" name="Chart 14"/>
        <xdr:cNvGraphicFramePr/>
      </xdr:nvGraphicFramePr>
      <xdr:xfrm>
        <a:off x="228600" y="8677275"/>
        <a:ext cx="6181725"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86575"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134100"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53150"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3058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3058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664017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664017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5339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5339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5539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5539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051685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0.629</cdr:x>
      <cdr:y>0.33925</cdr:y>
    </cdr:from>
    <cdr:to>
      <cdr:x>0.63775</cdr:x>
      <cdr:y>0.5035</cdr:y>
    </cdr:to>
    <cdr:sp>
      <cdr:nvSpPr>
        <cdr:cNvPr id="2" name="Line 2"/>
        <cdr:cNvSpPr>
          <a:spLocks/>
        </cdr:cNvSpPr>
      </cdr:nvSpPr>
      <cdr:spPr>
        <a:xfrm flipH="1">
          <a:off x="4429125" y="1047750"/>
          <a:ext cx="5715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21612225"/>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676275</xdr:colOff>
      <xdr:row>18</xdr:row>
      <xdr:rowOff>38100</xdr:rowOff>
    </xdr:from>
    <xdr:to>
      <xdr:col>5</xdr:col>
      <xdr:colOff>161925</xdr:colOff>
      <xdr:row>19</xdr:row>
      <xdr:rowOff>104775</xdr:rowOff>
    </xdr:to>
    <xdr:sp>
      <xdr:nvSpPr>
        <xdr:cNvPr id="5" name="Line 49"/>
        <xdr:cNvSpPr>
          <a:spLocks/>
        </xdr:cNvSpPr>
      </xdr:nvSpPr>
      <xdr:spPr>
        <a:xfrm flipH="1">
          <a:off x="3276600" y="4191000"/>
          <a:ext cx="2952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4838700"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4791075"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523875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667875"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1049000"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420225"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112%20QuarterlyIncentiveReport%20-%20Q3%20-%20Shrink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Ben.Dickel\Local%20Settings\Temporary%20Internet%20Files\1112%20QuarterlyIncentiveReport%20-%20Q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rinkage"/>
    </sheetNames>
    <sheetDataSet>
      <sheetData sheetId="0">
        <row r="37">
          <cell r="E37">
            <v>38.897742959507184</v>
          </cell>
          <cell r="H37">
            <v>60.71931452159283</v>
          </cell>
          <cell r="K37">
            <v>105.75880018083217</v>
          </cell>
          <cell r="N37">
            <v>158.06263218431323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Performance Summary"/>
      <sheetName val="Capacity"/>
      <sheetName val="Demand Forecasting"/>
      <sheetName val="Data Publication"/>
      <sheetName val="Ops Margin"/>
      <sheetName val="Residual Balancing"/>
      <sheetName val="Greenhouse Gas Emissions"/>
      <sheetName val="Unaccounted for Gas"/>
      <sheetName val="Graph Data"/>
    </sheetNames>
    <sheetDataSet>
      <sheetData sheetId="9">
        <row r="109">
          <cell r="D109">
            <v>-25</v>
          </cell>
          <cell r="E109">
            <v>-4</v>
          </cell>
        </row>
        <row r="110">
          <cell r="D110">
            <v>-20</v>
          </cell>
          <cell r="E110">
            <v>-4</v>
          </cell>
        </row>
        <row r="111">
          <cell r="D111">
            <v>0</v>
          </cell>
          <cell r="E111">
            <v>0</v>
          </cell>
        </row>
        <row r="112">
          <cell r="D112">
            <v>20</v>
          </cell>
          <cell r="E112">
            <v>5</v>
          </cell>
        </row>
        <row r="113">
          <cell r="D113">
            <v>25</v>
          </cell>
          <cell r="E113">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1" sqref="B1"/>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281</v>
      </c>
      <c r="C4" s="17"/>
    </row>
    <row r="5" spans="1:3" ht="12.75">
      <c r="A5" s="18"/>
      <c r="B5" s="617"/>
      <c r="C5" s="17"/>
    </row>
    <row r="6" spans="1:3" ht="15">
      <c r="A6" s="18"/>
      <c r="B6" s="618" t="s">
        <v>289</v>
      </c>
      <c r="C6" s="17"/>
    </row>
    <row r="7" spans="1:3" ht="12.75">
      <c r="A7" s="18"/>
      <c r="B7" s="619"/>
      <c r="C7" s="17"/>
    </row>
    <row r="8" spans="1:3" ht="12.75">
      <c r="A8" s="18"/>
      <c r="B8" s="619"/>
      <c r="C8" s="17"/>
    </row>
    <row r="9" spans="1:3" ht="15.75">
      <c r="A9" s="18"/>
      <c r="B9" s="620" t="s">
        <v>154</v>
      </c>
      <c r="C9" s="17"/>
    </row>
    <row r="10" spans="1:3" ht="14.25">
      <c r="A10" s="18"/>
      <c r="B10" s="621"/>
      <c r="C10" s="17"/>
    </row>
    <row r="11" spans="1:3" ht="15">
      <c r="A11" s="18"/>
      <c r="B11" s="622" t="s">
        <v>175</v>
      </c>
      <c r="C11" s="17"/>
    </row>
    <row r="12" spans="1:3" ht="14.25">
      <c r="A12" s="19"/>
      <c r="B12" s="623"/>
      <c r="C12" s="17"/>
    </row>
    <row r="13" spans="1:3" ht="28.5">
      <c r="A13" s="19"/>
      <c r="B13" s="624" t="s">
        <v>282</v>
      </c>
      <c r="C13" s="17"/>
    </row>
    <row r="14" spans="1:3" ht="14.25">
      <c r="A14" s="19"/>
      <c r="B14" s="624"/>
      <c r="C14" s="17"/>
    </row>
    <row r="15" spans="1:3" ht="14.25">
      <c r="A15" s="19"/>
      <c r="B15" s="623"/>
      <c r="C15" s="17"/>
    </row>
    <row r="16" spans="1:3" ht="15">
      <c r="A16" s="19"/>
      <c r="B16" s="625" t="s">
        <v>87</v>
      </c>
      <c r="C16" s="17"/>
    </row>
    <row r="17" spans="1:3" ht="14.25">
      <c r="A17" s="19"/>
      <c r="B17" s="623"/>
      <c r="C17" s="17"/>
    </row>
    <row r="18" spans="1:3" ht="71.25">
      <c r="A18" s="19"/>
      <c r="B18" s="624" t="s">
        <v>227</v>
      </c>
      <c r="C18" s="17"/>
    </row>
    <row r="19" spans="1:3" ht="14.25">
      <c r="A19" s="19"/>
      <c r="B19" s="623"/>
      <c r="C19" s="17"/>
    </row>
    <row r="20" spans="1:3" ht="15">
      <c r="A20" s="19"/>
      <c r="B20" s="625" t="s">
        <v>88</v>
      </c>
      <c r="C20" s="17"/>
    </row>
    <row r="21" spans="1:3" ht="14.25">
      <c r="A21" s="19"/>
      <c r="B21" s="623" t="s">
        <v>228</v>
      </c>
      <c r="C21" s="17"/>
    </row>
    <row r="22" spans="1:3" ht="14.25">
      <c r="A22" s="19"/>
      <c r="B22" s="623"/>
      <c r="C22" s="17"/>
    </row>
    <row r="23" spans="1:3" ht="14.25">
      <c r="A23" s="19"/>
      <c r="B23" s="623" t="s">
        <v>89</v>
      </c>
      <c r="C23" s="17"/>
    </row>
    <row r="24" spans="1:3" ht="14.25">
      <c r="A24" s="19"/>
      <c r="B24" s="623" t="s">
        <v>90</v>
      </c>
      <c r="C24" s="17"/>
    </row>
    <row r="25" spans="1:3" ht="14.25">
      <c r="A25" s="19"/>
      <c r="B25" s="623" t="s">
        <v>162</v>
      </c>
      <c r="C25" s="17"/>
    </row>
    <row r="26" spans="1:3" ht="14.25">
      <c r="A26" s="19"/>
      <c r="B26" s="623" t="s">
        <v>93</v>
      </c>
      <c r="C26" s="17"/>
    </row>
    <row r="27" spans="1:3" ht="14.25">
      <c r="A27" s="19"/>
      <c r="B27" s="623" t="s">
        <v>91</v>
      </c>
      <c r="C27" s="17"/>
    </row>
    <row r="28" spans="1:3" ht="14.25">
      <c r="A28" s="19"/>
      <c r="B28" s="623" t="s">
        <v>92</v>
      </c>
      <c r="C28" s="17"/>
    </row>
    <row r="29" spans="1:3" ht="14.25">
      <c r="A29" s="19"/>
      <c r="B29" s="623" t="s">
        <v>264</v>
      </c>
      <c r="C29" s="17"/>
    </row>
    <row r="30" spans="1:3" ht="14.25">
      <c r="A30" s="19"/>
      <c r="B30" s="623" t="s">
        <v>155</v>
      </c>
      <c r="C30" s="17"/>
    </row>
    <row r="31" spans="1:3" ht="14.25">
      <c r="A31" s="20"/>
      <c r="B31" s="626"/>
      <c r="C31" s="17"/>
    </row>
    <row r="32" spans="1:3" ht="14.25">
      <c r="A32" s="20"/>
      <c r="B32" s="626"/>
      <c r="C32" s="17"/>
    </row>
    <row r="33" spans="1:3" ht="15">
      <c r="A33" s="20"/>
      <c r="B33" s="627" t="s">
        <v>232</v>
      </c>
      <c r="C33" s="17"/>
    </row>
    <row r="34" spans="1:3" ht="14.25">
      <c r="A34" s="20"/>
      <c r="B34" s="626"/>
      <c r="C34" s="17"/>
    </row>
    <row r="35" spans="1:3" ht="28.5">
      <c r="A35" s="20"/>
      <c r="B35" s="626" t="s">
        <v>233</v>
      </c>
      <c r="C35" s="17"/>
    </row>
    <row r="36" spans="1:3" ht="14.25">
      <c r="A36" s="20"/>
      <c r="B36" s="626"/>
      <c r="C36" s="17"/>
    </row>
    <row r="37" spans="1:3" ht="15">
      <c r="A37" s="20"/>
      <c r="B37" s="627" t="s">
        <v>268</v>
      </c>
      <c r="C37" s="17"/>
    </row>
    <row r="38" spans="1:3" ht="12.75">
      <c r="A38" s="133"/>
      <c r="B38" s="619"/>
      <c r="C38" s="17"/>
    </row>
    <row r="39" spans="1:3" ht="28.5">
      <c r="A39" s="133"/>
      <c r="B39" s="623" t="s">
        <v>269</v>
      </c>
      <c r="C39" s="17"/>
    </row>
    <row r="40" spans="1:3" ht="12.75">
      <c r="A40" s="133"/>
      <c r="B40" s="617"/>
      <c r="C40" s="17"/>
    </row>
    <row r="41" spans="1:3" ht="15">
      <c r="A41" s="133"/>
      <c r="B41" s="628" t="s">
        <v>283</v>
      </c>
      <c r="C41" s="17"/>
    </row>
    <row r="42" spans="1:3" ht="12.75">
      <c r="A42" s="133"/>
      <c r="B42" s="617"/>
      <c r="C42" s="17"/>
    </row>
    <row r="43" spans="1:3" ht="14.25">
      <c r="A43" s="133"/>
      <c r="B43" s="629" t="s">
        <v>270</v>
      </c>
      <c r="C43" s="17"/>
    </row>
    <row r="44" spans="1:3" ht="14.25">
      <c r="A44" s="133"/>
      <c r="B44" s="629" t="s">
        <v>271</v>
      </c>
      <c r="C44" s="17"/>
    </row>
    <row r="45" spans="1:3" ht="14.25">
      <c r="A45" s="133"/>
      <c r="B45" s="629" t="s">
        <v>272</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97"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1">
      <selection activeCell="B3" sqref="B3"/>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97</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77.25" customHeight="1">
      <c r="B6" s="510" t="s">
        <v>70</v>
      </c>
      <c r="C6" s="785" t="s">
        <v>194</v>
      </c>
      <c r="D6" s="785"/>
      <c r="E6" s="785"/>
      <c r="F6" s="785"/>
      <c r="G6" s="785"/>
      <c r="H6" s="785"/>
      <c r="I6" s="786"/>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698" t="s">
        <v>159</v>
      </c>
      <c r="G9" s="699"/>
      <c r="H9" s="699"/>
      <c r="I9" s="700"/>
    </row>
    <row r="10" spans="2:9" ht="14.25">
      <c r="B10" s="245"/>
      <c r="C10" s="300"/>
      <c r="D10" s="212"/>
      <c r="E10" s="212"/>
      <c r="F10" s="489"/>
      <c r="G10" s="568"/>
      <c r="H10" s="568"/>
      <c r="I10" s="246"/>
    </row>
    <row r="11" spans="2:9" ht="11.25" customHeight="1">
      <c r="B11" s="245"/>
      <c r="C11" s="300"/>
      <c r="D11" s="212"/>
      <c r="E11" s="212"/>
      <c r="F11" s="678" t="s">
        <v>216</v>
      </c>
      <c r="G11" s="679"/>
      <c r="H11" s="679"/>
      <c r="I11" s="680"/>
    </row>
    <row r="12" spans="2:9" ht="14.25">
      <c r="B12" s="245"/>
      <c r="C12" s="300"/>
      <c r="D12" s="212"/>
      <c r="E12" s="212"/>
      <c r="F12" s="490"/>
      <c r="G12" s="514"/>
      <c r="H12" s="199"/>
      <c r="I12" s="246"/>
    </row>
    <row r="13" spans="2:9" ht="11.25" customHeight="1">
      <c r="B13" s="245"/>
      <c r="C13" s="300"/>
      <c r="D13" s="212"/>
      <c r="E13" s="212"/>
      <c r="F13" s="681" t="s">
        <v>196</v>
      </c>
      <c r="G13" s="682"/>
      <c r="H13" s="682"/>
      <c r="I13" s="683"/>
    </row>
    <row r="14" spans="2:9" ht="11.25" customHeight="1">
      <c r="B14" s="245"/>
      <c r="C14" s="300"/>
      <c r="D14" s="212"/>
      <c r="E14" s="212"/>
      <c r="F14" s="681"/>
      <c r="G14" s="682"/>
      <c r="H14" s="682"/>
      <c r="I14" s="683"/>
    </row>
    <row r="15" spans="2:9" ht="11.25" customHeight="1">
      <c r="B15" s="245"/>
      <c r="C15" s="300"/>
      <c r="D15" s="212"/>
      <c r="E15" s="212"/>
      <c r="F15" s="681"/>
      <c r="G15" s="682"/>
      <c r="H15" s="682"/>
      <c r="I15" s="683"/>
    </row>
    <row r="16" spans="2:9" ht="11.25" customHeight="1">
      <c r="B16" s="245"/>
      <c r="C16" s="300"/>
      <c r="D16" s="212"/>
      <c r="E16" s="212"/>
      <c r="F16" s="681"/>
      <c r="G16" s="682"/>
      <c r="H16" s="682"/>
      <c r="I16" s="683"/>
    </row>
    <row r="17" spans="2:9" ht="11.25" customHeight="1">
      <c r="B17" s="245"/>
      <c r="C17" s="300"/>
      <c r="D17" s="212"/>
      <c r="E17" s="212"/>
      <c r="F17" s="681"/>
      <c r="G17" s="682"/>
      <c r="H17" s="682"/>
      <c r="I17" s="683"/>
    </row>
    <row r="18" spans="2:9" ht="11.25" customHeight="1">
      <c r="B18" s="245"/>
      <c r="C18" s="300"/>
      <c r="D18" s="212"/>
      <c r="E18" s="212"/>
      <c r="F18" s="681"/>
      <c r="G18" s="682"/>
      <c r="H18" s="682"/>
      <c r="I18" s="683"/>
    </row>
    <row r="19" spans="2:9" ht="11.25" customHeight="1">
      <c r="B19" s="245"/>
      <c r="C19" s="300"/>
      <c r="D19" s="212"/>
      <c r="E19" s="212"/>
      <c r="F19" s="681"/>
      <c r="G19" s="682"/>
      <c r="H19" s="682"/>
      <c r="I19" s="683"/>
    </row>
    <row r="20" spans="2:9" ht="11.25" customHeight="1">
      <c r="B20" s="245"/>
      <c r="C20" s="300"/>
      <c r="D20" s="212"/>
      <c r="E20" s="212"/>
      <c r="F20" s="681"/>
      <c r="G20" s="682"/>
      <c r="H20" s="682"/>
      <c r="I20" s="683"/>
    </row>
    <row r="21" spans="2:9" ht="11.25" customHeight="1">
      <c r="B21" s="245"/>
      <c r="C21" s="300"/>
      <c r="D21" s="212"/>
      <c r="E21" s="212"/>
      <c r="F21" s="681"/>
      <c r="G21" s="682"/>
      <c r="H21" s="682"/>
      <c r="I21" s="683"/>
    </row>
    <row r="22" spans="2:9" ht="11.25" customHeight="1">
      <c r="B22" s="245"/>
      <c r="C22" s="300"/>
      <c r="D22" s="212"/>
      <c r="E22" s="212"/>
      <c r="F22" s="681"/>
      <c r="G22" s="682"/>
      <c r="H22" s="682"/>
      <c r="I22" s="683"/>
    </row>
    <row r="23" spans="2:9" ht="11.25" customHeight="1">
      <c r="B23" s="245"/>
      <c r="C23" s="300"/>
      <c r="D23" s="212"/>
      <c r="E23" s="212"/>
      <c r="F23" s="681"/>
      <c r="G23" s="682"/>
      <c r="H23" s="682"/>
      <c r="I23" s="683"/>
    </row>
    <row r="24" spans="2:9" ht="11.25" customHeight="1">
      <c r="B24" s="245"/>
      <c r="C24" s="300"/>
      <c r="D24" s="212"/>
      <c r="E24" s="212"/>
      <c r="F24" s="681"/>
      <c r="G24" s="682"/>
      <c r="H24" s="682"/>
      <c r="I24" s="683"/>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152</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689" t="s">
        <v>11</v>
      </c>
      <c r="C52" s="690"/>
      <c r="D52" s="690"/>
      <c r="E52" s="690"/>
      <c r="F52" s="690"/>
      <c r="G52" s="690"/>
      <c r="H52" s="690"/>
      <c r="I52" s="691"/>
    </row>
    <row r="53" spans="2:9" ht="11.25">
      <c r="B53" s="689"/>
      <c r="C53" s="690"/>
      <c r="D53" s="690"/>
      <c r="E53" s="690"/>
      <c r="F53" s="690"/>
      <c r="G53" s="690"/>
      <c r="H53" s="690"/>
      <c r="I53" s="691"/>
    </row>
    <row r="54" spans="2:9" ht="11.25">
      <c r="B54" s="689"/>
      <c r="C54" s="690"/>
      <c r="D54" s="690"/>
      <c r="E54" s="690"/>
      <c r="F54" s="690"/>
      <c r="G54" s="690"/>
      <c r="H54" s="690"/>
      <c r="I54" s="691"/>
    </row>
    <row r="55" spans="2:9" ht="11.25">
      <c r="B55" s="689"/>
      <c r="C55" s="690"/>
      <c r="D55" s="690"/>
      <c r="E55" s="690"/>
      <c r="F55" s="690"/>
      <c r="G55" s="690"/>
      <c r="H55" s="690"/>
      <c r="I55" s="691"/>
    </row>
    <row r="56" spans="2:9" ht="11.25">
      <c r="B56" s="689"/>
      <c r="C56" s="690"/>
      <c r="D56" s="690"/>
      <c r="E56" s="690"/>
      <c r="F56" s="690"/>
      <c r="G56" s="690"/>
      <c r="H56" s="690"/>
      <c r="I56" s="691"/>
    </row>
    <row r="57" spans="2:9" ht="11.25">
      <c r="B57" s="689"/>
      <c r="C57" s="690"/>
      <c r="D57" s="690"/>
      <c r="E57" s="690"/>
      <c r="F57" s="690"/>
      <c r="G57" s="690"/>
      <c r="H57" s="690"/>
      <c r="I57" s="691"/>
    </row>
    <row r="58" spans="2:9" ht="11.25">
      <c r="B58" s="689"/>
      <c r="C58" s="690"/>
      <c r="D58" s="690"/>
      <c r="E58" s="690"/>
      <c r="F58" s="690"/>
      <c r="G58" s="690"/>
      <c r="H58" s="690"/>
      <c r="I58" s="691"/>
    </row>
    <row r="59" spans="2:9" ht="11.25">
      <c r="B59" s="689"/>
      <c r="C59" s="690"/>
      <c r="D59" s="690"/>
      <c r="E59" s="690"/>
      <c r="F59" s="690"/>
      <c r="G59" s="690"/>
      <c r="H59" s="690"/>
      <c r="I59" s="691"/>
    </row>
    <row r="60" spans="2:9" ht="11.25">
      <c r="B60" s="245"/>
      <c r="C60" s="300"/>
      <c r="D60" s="212"/>
      <c r="E60" s="212"/>
      <c r="F60" s="212"/>
      <c r="G60" s="212"/>
      <c r="H60" s="212"/>
      <c r="I60" s="246"/>
    </row>
    <row r="61" spans="2:9" ht="15.75">
      <c r="B61" s="227" t="s">
        <v>153</v>
      </c>
      <c r="C61" s="300"/>
      <c r="D61" s="212"/>
      <c r="E61" s="212"/>
      <c r="F61" s="212"/>
      <c r="G61" s="212"/>
      <c r="H61" s="212"/>
      <c r="I61" s="246"/>
    </row>
    <row r="62" spans="2:9" ht="12" thickBot="1">
      <c r="B62" s="245"/>
      <c r="C62" s="212"/>
      <c r="D62" s="212"/>
      <c r="E62" s="212"/>
      <c r="F62" s="212"/>
      <c r="G62" s="212"/>
      <c r="H62" s="212"/>
      <c r="I62" s="246"/>
    </row>
    <row r="63" spans="2:17" ht="47.25" customHeight="1">
      <c r="B63" s="606" t="s">
        <v>41</v>
      </c>
      <c r="C63" s="588" t="s">
        <v>217</v>
      </c>
      <c r="D63" s="589" t="s">
        <v>195</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v>418</v>
      </c>
      <c r="D67" s="599">
        <f>IF(C67="","",D66+C67)</f>
        <v>1884</v>
      </c>
      <c r="E67" s="594"/>
      <c r="F67" s="594"/>
      <c r="G67" s="600"/>
      <c r="H67" s="609"/>
      <c r="I67" s="584"/>
      <c r="J67" s="594"/>
      <c r="K67" s="594"/>
      <c r="M67" s="596"/>
      <c r="N67" s="597"/>
      <c r="O67" s="597"/>
      <c r="P67" s="598"/>
      <c r="Q67" s="597"/>
    </row>
    <row r="68" spans="2:17" s="595" customFormat="1" ht="12.75">
      <c r="B68" s="608">
        <v>40756</v>
      </c>
      <c r="C68" s="594">
        <v>360</v>
      </c>
      <c r="D68" s="599">
        <f aca="true" t="shared" si="0" ref="D68:D75">IF(C68="","",D67+C68)</f>
        <v>2244</v>
      </c>
      <c r="E68" s="594"/>
      <c r="F68" s="594"/>
      <c r="G68" s="600"/>
      <c r="H68" s="609"/>
      <c r="I68" s="610"/>
      <c r="J68" s="594"/>
      <c r="K68" s="594"/>
      <c r="N68" s="597"/>
      <c r="O68" s="597"/>
      <c r="P68" s="598"/>
      <c r="Q68" s="597"/>
    </row>
    <row r="69" spans="2:16" s="595" customFormat="1" ht="15.75">
      <c r="B69" s="608">
        <v>40787</v>
      </c>
      <c r="C69" s="594">
        <v>421</v>
      </c>
      <c r="D69" s="599">
        <f t="shared" si="0"/>
        <v>2665</v>
      </c>
      <c r="E69" s="594"/>
      <c r="F69" s="600"/>
      <c r="G69" s="600"/>
      <c r="H69" s="601"/>
      <c r="I69" s="584"/>
      <c r="J69" s="594"/>
      <c r="L69" s="596"/>
      <c r="M69" s="597"/>
      <c r="N69" s="597"/>
      <c r="O69" s="598"/>
      <c r="P69" s="597"/>
    </row>
    <row r="70" spans="2:17" s="595" customFormat="1" ht="12.75">
      <c r="B70" s="608">
        <v>40817</v>
      </c>
      <c r="C70" s="594">
        <v>428</v>
      </c>
      <c r="D70" s="599">
        <f t="shared" si="0"/>
        <v>3093</v>
      </c>
      <c r="E70" s="594"/>
      <c r="F70" s="594"/>
      <c r="G70" s="600"/>
      <c r="H70" s="600"/>
      <c r="I70" s="612"/>
      <c r="J70" s="594"/>
      <c r="K70" s="594"/>
      <c r="M70" s="596"/>
      <c r="N70" s="597"/>
      <c r="O70" s="597"/>
      <c r="P70" s="598"/>
      <c r="Q70" s="597"/>
    </row>
    <row r="71" spans="2:16" s="595" customFormat="1" ht="12.75">
      <c r="B71" s="608">
        <v>40848</v>
      </c>
      <c r="C71" s="594">
        <v>422</v>
      </c>
      <c r="D71" s="599">
        <f t="shared" si="0"/>
        <v>3515</v>
      </c>
      <c r="E71" s="594"/>
      <c r="F71" s="600"/>
      <c r="G71" s="600"/>
      <c r="H71" s="601"/>
      <c r="I71" s="613"/>
      <c r="J71" s="594"/>
      <c r="L71" s="596"/>
      <c r="M71" s="597"/>
      <c r="N71" s="597"/>
      <c r="O71" s="598"/>
      <c r="P71" s="597"/>
    </row>
    <row r="72" spans="2:17" s="595" customFormat="1" ht="12.75">
      <c r="B72" s="608">
        <v>40878</v>
      </c>
      <c r="C72" s="594">
        <v>345</v>
      </c>
      <c r="D72" s="599">
        <f t="shared" si="0"/>
        <v>3860</v>
      </c>
      <c r="E72" s="594"/>
      <c r="F72" s="600"/>
      <c r="G72" s="600"/>
      <c r="H72" s="600"/>
      <c r="I72" s="612"/>
      <c r="J72" s="594"/>
      <c r="K72" s="594"/>
      <c r="M72" s="596"/>
      <c r="N72" s="597"/>
      <c r="O72" s="597"/>
      <c r="P72" s="598"/>
      <c r="Q72" s="597"/>
    </row>
    <row r="73" spans="2:17" s="595" customFormat="1" ht="12.75">
      <c r="B73" s="608">
        <v>40909</v>
      </c>
      <c r="C73" s="594"/>
      <c r="D73" s="599">
        <f t="shared" si="0"/>
      </c>
      <c r="E73" s="594"/>
      <c r="F73" s="594"/>
      <c r="G73" s="600"/>
      <c r="H73" s="600"/>
      <c r="I73" s="612"/>
      <c r="J73" s="594"/>
      <c r="K73" s="594"/>
      <c r="M73" s="596"/>
      <c r="N73" s="597"/>
      <c r="O73" s="597"/>
      <c r="P73" s="598"/>
      <c r="Q73" s="597"/>
    </row>
    <row r="74" spans="2:17" s="595" customFormat="1" ht="12.75">
      <c r="B74" s="608">
        <v>40940</v>
      </c>
      <c r="C74" s="594"/>
      <c r="D74" s="599">
        <f t="shared" si="0"/>
      </c>
      <c r="E74" s="594"/>
      <c r="F74" s="594"/>
      <c r="G74" s="600"/>
      <c r="H74" s="600"/>
      <c r="I74" s="612"/>
      <c r="J74" s="594"/>
      <c r="K74" s="594"/>
      <c r="M74" s="596"/>
      <c r="N74" s="597"/>
      <c r="O74" s="597"/>
      <c r="P74" s="598"/>
      <c r="Q74" s="597"/>
    </row>
    <row r="75" spans="2:17" s="595" customFormat="1" ht="13.5" thickBot="1">
      <c r="B75" s="608">
        <v>40969</v>
      </c>
      <c r="C75" s="594"/>
      <c r="D75" s="599">
        <f t="shared" si="0"/>
      </c>
      <c r="E75" s="594"/>
      <c r="F75" s="594"/>
      <c r="G75" s="600"/>
      <c r="H75" s="600"/>
      <c r="I75" s="612"/>
      <c r="J75" s="594"/>
      <c r="K75" s="594"/>
      <c r="M75" s="596"/>
      <c r="N75" s="597"/>
      <c r="O75" s="597"/>
      <c r="P75" s="598"/>
      <c r="Q75" s="597"/>
    </row>
    <row r="76" spans="2:17" ht="13.5" thickBot="1">
      <c r="B76" s="614" t="s">
        <v>83</v>
      </c>
      <c r="C76" s="602">
        <f>SUM(C64:C75)</f>
        <v>3860</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6"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A1">
      <selection activeCell="G152" sqref="G15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120</v>
      </c>
    </row>
    <row r="2" ht="12.75">
      <c r="B2" t="s">
        <v>121</v>
      </c>
    </row>
    <row r="5" spans="1:15" ht="12.75">
      <c r="A5">
        <v>1</v>
      </c>
      <c r="B5" t="s">
        <v>145</v>
      </c>
      <c r="G5" t="s">
        <v>122</v>
      </c>
      <c r="J5" s="37"/>
      <c r="K5" s="38"/>
      <c r="L5" s="39"/>
      <c r="M5" s="2"/>
      <c r="N5" s="40"/>
      <c r="O5" s="40"/>
    </row>
    <row r="6" spans="4:13" ht="12.75">
      <c r="D6" t="s">
        <v>128</v>
      </c>
      <c r="E6" t="s">
        <v>129</v>
      </c>
      <c r="G6" s="44">
        <v>-80</v>
      </c>
      <c r="H6" s="44">
        <f>E7</f>
        <v>16.71029</v>
      </c>
      <c r="J6" s="37"/>
      <c r="K6" s="39"/>
      <c r="L6" s="38"/>
      <c r="M6" s="2"/>
    </row>
    <row r="7" spans="3:13" ht="12.75">
      <c r="C7" t="s">
        <v>123</v>
      </c>
      <c r="D7" s="41">
        <f>(D8-(2*E7))</f>
        <v>-16.71058</v>
      </c>
      <c r="E7" s="41">
        <v>16.71029</v>
      </c>
      <c r="F7" s="43"/>
      <c r="G7" s="44">
        <f aca="true" t="shared" si="0" ref="G7:H9">D7</f>
        <v>-16.71058</v>
      </c>
      <c r="H7" s="44">
        <f t="shared" si="0"/>
        <v>16.71029</v>
      </c>
      <c r="J7" s="37"/>
      <c r="M7" s="2"/>
    </row>
    <row r="8" spans="3:13" ht="12.75">
      <c r="C8" t="s">
        <v>124</v>
      </c>
      <c r="D8" s="41">
        <v>16.71</v>
      </c>
      <c r="E8" s="42">
        <v>0</v>
      </c>
      <c r="F8" s="43"/>
      <c r="G8" s="44">
        <f t="shared" si="0"/>
        <v>16.71</v>
      </c>
      <c r="H8" s="44">
        <f t="shared" si="0"/>
        <v>0</v>
      </c>
      <c r="J8" s="37"/>
      <c r="M8" s="2"/>
    </row>
    <row r="9" spans="3:13" ht="12.75">
      <c r="C9" t="s">
        <v>125</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138</v>
      </c>
      <c r="D13" t="s">
        <v>85</v>
      </c>
      <c r="E13">
        <v>0.03</v>
      </c>
      <c r="G13" t="s">
        <v>122</v>
      </c>
    </row>
    <row r="14" spans="4:10" ht="12.75">
      <c r="D14" t="s">
        <v>158</v>
      </c>
      <c r="E14" t="s">
        <v>129</v>
      </c>
      <c r="G14">
        <v>-40</v>
      </c>
      <c r="H14">
        <f>E15</f>
        <v>-1.6</v>
      </c>
      <c r="J14">
        <f>(1-G14/100)*0.03</f>
        <v>0.041999999999999996</v>
      </c>
    </row>
    <row r="15" spans="3:10" ht="12.75">
      <c r="C15" t="s">
        <v>125</v>
      </c>
      <c r="D15">
        <v>-5</v>
      </c>
      <c r="E15">
        <v>-1.6</v>
      </c>
      <c r="G15">
        <f aca="true" t="shared" si="1" ref="G15:H17">D15</f>
        <v>-5</v>
      </c>
      <c r="H15">
        <f t="shared" si="1"/>
        <v>-1.6</v>
      </c>
      <c r="J15">
        <v>0.03</v>
      </c>
    </row>
    <row r="16" spans="3:10" ht="12.75">
      <c r="C16" t="s">
        <v>124</v>
      </c>
      <c r="D16">
        <v>5</v>
      </c>
      <c r="E16">
        <v>1.6</v>
      </c>
      <c r="G16">
        <f t="shared" si="1"/>
        <v>5</v>
      </c>
      <c r="H16">
        <f t="shared" si="1"/>
        <v>1.6</v>
      </c>
      <c r="J16">
        <v>0.027</v>
      </c>
    </row>
    <row r="17" spans="3:10" ht="12.75">
      <c r="C17" t="s">
        <v>123</v>
      </c>
      <c r="D17">
        <v>100</v>
      </c>
      <c r="E17">
        <v>8.27</v>
      </c>
      <c r="G17">
        <f t="shared" si="1"/>
        <v>100</v>
      </c>
      <c r="H17">
        <f t="shared" si="1"/>
        <v>8.27</v>
      </c>
      <c r="J17">
        <f>(1-G17/100)*0.03</f>
        <v>0</v>
      </c>
    </row>
    <row r="18" spans="7:10" ht="12.75">
      <c r="G18">
        <v>105</v>
      </c>
      <c r="H18">
        <f>E17</f>
        <v>8.27</v>
      </c>
      <c r="J18">
        <f>(1-G18/100)*0.03</f>
        <v>-0.0015000000000000013</v>
      </c>
    </row>
    <row r="20" spans="3:6" ht="22.5">
      <c r="C20" s="13" t="s">
        <v>258</v>
      </c>
      <c r="D20" s="87" t="s">
        <v>259</v>
      </c>
      <c r="E20" s="1" t="s">
        <v>189</v>
      </c>
      <c r="F20" s="87" t="s">
        <v>188</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146</v>
      </c>
      <c r="D36" s="31"/>
      <c r="E36" s="31"/>
      <c r="F36" s="32"/>
      <c r="G36" s="32"/>
      <c r="H36" s="32"/>
      <c r="I36" s="31"/>
      <c r="J36" s="33"/>
      <c r="K36" s="32"/>
      <c r="L36" s="31"/>
      <c r="M36" s="33"/>
      <c r="N36" s="32"/>
      <c r="O36" s="31"/>
    </row>
    <row r="37" spans="3:5" s="30" customFormat="1" ht="12.75">
      <c r="C37" t="s">
        <v>123</v>
      </c>
      <c r="D37" s="34">
        <v>1</v>
      </c>
      <c r="E37" s="35">
        <v>100</v>
      </c>
    </row>
    <row r="38" spans="3:5" s="30" customFormat="1" ht="12.75">
      <c r="C38" t="s">
        <v>140</v>
      </c>
      <c r="D38" s="34">
        <v>0</v>
      </c>
      <c r="E38" s="30">
        <v>75</v>
      </c>
    </row>
    <row r="39" spans="3:5" ht="12.75">
      <c r="C39" t="s">
        <v>139</v>
      </c>
      <c r="D39" s="34">
        <v>0</v>
      </c>
      <c r="E39">
        <v>0</v>
      </c>
    </row>
    <row r="40" spans="3:5" ht="12.75">
      <c r="C40" t="s">
        <v>147</v>
      </c>
      <c r="D40" s="34">
        <v>-0.27</v>
      </c>
      <c r="E40">
        <v>-75</v>
      </c>
    </row>
    <row r="41" spans="3:5" ht="12.75">
      <c r="C41" t="s">
        <v>125</v>
      </c>
      <c r="D41" s="34">
        <v>-1</v>
      </c>
      <c r="E41">
        <v>-100</v>
      </c>
    </row>
    <row r="42" ht="13.5" thickBot="1"/>
    <row r="43" spans="1:256" ht="13.5" thickBot="1">
      <c r="A43" s="1"/>
      <c r="B43" s="1"/>
      <c r="C43" s="4" t="s">
        <v>48</v>
      </c>
      <c r="D43" s="5">
        <v>40634</v>
      </c>
      <c r="E43" s="5">
        <v>40664</v>
      </c>
      <c r="F43" s="5">
        <v>40695</v>
      </c>
      <c r="G43" s="5">
        <v>40725</v>
      </c>
      <c r="H43" s="5">
        <v>40756</v>
      </c>
      <c r="I43" s="5">
        <v>40787</v>
      </c>
      <c r="J43" s="5">
        <v>40817</v>
      </c>
      <c r="K43" s="5">
        <v>40848</v>
      </c>
      <c r="L43" s="5">
        <v>40878</v>
      </c>
      <c r="M43" s="5">
        <v>40909</v>
      </c>
      <c r="N43" s="5">
        <v>40940</v>
      </c>
      <c r="O43" s="5">
        <v>40969</v>
      </c>
      <c r="P43" s="8" t="s">
        <v>46</v>
      </c>
      <c r="Q43" s="1"/>
      <c r="R43" s="1"/>
      <c r="S43" s="4" t="s">
        <v>48</v>
      </c>
      <c r="T43" s="5">
        <v>40634</v>
      </c>
      <c r="U43" s="5">
        <v>40664</v>
      </c>
      <c r="V43" s="5">
        <v>40695</v>
      </c>
      <c r="W43" s="5">
        <v>40725</v>
      </c>
      <c r="X43" s="5">
        <v>40756</v>
      </c>
      <c r="Y43" s="5">
        <v>40787</v>
      </c>
      <c r="Z43" s="5">
        <v>40817</v>
      </c>
      <c r="AA43" s="5">
        <v>40848</v>
      </c>
      <c r="AB43" s="5">
        <v>40878</v>
      </c>
      <c r="AC43" s="5">
        <v>40909</v>
      </c>
      <c r="AD43" s="5">
        <v>40940</v>
      </c>
      <c r="AE43" s="5">
        <v>40969</v>
      </c>
      <c r="AF43" s="8" t="s">
        <v>46</v>
      </c>
      <c r="AG43" s="1"/>
      <c r="AH43" s="1"/>
      <c r="AI43" s="4" t="s">
        <v>48</v>
      </c>
      <c r="AJ43" s="5">
        <v>39904</v>
      </c>
      <c r="AK43" s="6">
        <v>39934</v>
      </c>
      <c r="AL43" s="6">
        <v>39965</v>
      </c>
      <c r="AM43" s="6">
        <v>39995</v>
      </c>
      <c r="AN43" s="6">
        <v>40026</v>
      </c>
      <c r="AO43" s="6">
        <v>40057</v>
      </c>
      <c r="AP43" s="6">
        <v>40087</v>
      </c>
      <c r="AQ43" s="6">
        <v>40118</v>
      </c>
      <c r="AR43" s="6">
        <v>40148</v>
      </c>
      <c r="AS43" s="6">
        <v>40179</v>
      </c>
      <c r="AT43" s="6">
        <v>40210</v>
      </c>
      <c r="AU43" s="7">
        <v>40238</v>
      </c>
      <c r="AV43" s="8" t="s">
        <v>46</v>
      </c>
      <c r="AW43" s="1"/>
      <c r="AX43" s="1"/>
      <c r="AY43" s="4" t="s">
        <v>48</v>
      </c>
      <c r="AZ43" s="5">
        <v>39904</v>
      </c>
      <c r="BA43" s="6">
        <v>39934</v>
      </c>
      <c r="BB43" s="6">
        <v>39965</v>
      </c>
      <c r="BC43" s="6">
        <v>39995</v>
      </c>
      <c r="BD43" s="6">
        <v>40026</v>
      </c>
      <c r="BE43" s="6">
        <v>40057</v>
      </c>
      <c r="BF43" s="6">
        <v>40087</v>
      </c>
      <c r="BG43" s="6">
        <v>40118</v>
      </c>
      <c r="BH43" s="6">
        <v>40148</v>
      </c>
      <c r="BI43" s="6">
        <v>40179</v>
      </c>
      <c r="BJ43" s="6">
        <v>40210</v>
      </c>
      <c r="BK43" s="7">
        <v>40238</v>
      </c>
      <c r="BL43" s="8" t="s">
        <v>46</v>
      </c>
      <c r="BM43" s="1"/>
      <c r="BN43" s="1"/>
      <c r="BO43" s="4" t="s">
        <v>48</v>
      </c>
      <c r="BP43" s="5">
        <v>39904</v>
      </c>
      <c r="BQ43" s="6">
        <v>39934</v>
      </c>
      <c r="BR43" s="6">
        <v>39965</v>
      </c>
      <c r="BS43" s="6">
        <v>39995</v>
      </c>
      <c r="BT43" s="6">
        <v>40026</v>
      </c>
      <c r="BU43" s="6">
        <v>40057</v>
      </c>
      <c r="BV43" s="6">
        <v>40087</v>
      </c>
      <c r="BW43" s="6">
        <v>40118</v>
      </c>
      <c r="BX43" s="6">
        <v>40148</v>
      </c>
      <c r="BY43" s="6">
        <v>40179</v>
      </c>
      <c r="BZ43" s="6">
        <v>40210</v>
      </c>
      <c r="CA43" s="7">
        <v>40238</v>
      </c>
      <c r="CB43" s="8" t="s">
        <v>46</v>
      </c>
      <c r="CC43" s="1"/>
      <c r="CD43" s="1"/>
      <c r="CE43" s="4" t="s">
        <v>48</v>
      </c>
      <c r="CF43" s="5">
        <v>39904</v>
      </c>
      <c r="CG43" s="6">
        <v>39934</v>
      </c>
      <c r="CH43" s="6">
        <v>39965</v>
      </c>
      <c r="CI43" s="6">
        <v>39995</v>
      </c>
      <c r="CJ43" s="6">
        <v>40026</v>
      </c>
      <c r="CK43" s="6">
        <v>40057</v>
      </c>
      <c r="CL43" s="6">
        <v>40087</v>
      </c>
      <c r="CM43" s="6">
        <v>40118</v>
      </c>
      <c r="CN43" s="6">
        <v>40148</v>
      </c>
      <c r="CO43" s="6">
        <v>40179</v>
      </c>
      <c r="CP43" s="6">
        <v>40210</v>
      </c>
      <c r="CQ43" s="7">
        <v>40238</v>
      </c>
      <c r="CR43" s="8" t="s">
        <v>46</v>
      </c>
      <c r="CS43" s="1"/>
      <c r="CT43" s="1"/>
      <c r="CU43" s="4" t="s">
        <v>48</v>
      </c>
      <c r="CV43" s="5">
        <v>39904</v>
      </c>
      <c r="CW43" s="6">
        <v>39934</v>
      </c>
      <c r="CX43" s="6">
        <v>39965</v>
      </c>
      <c r="CY43" s="6">
        <v>39995</v>
      </c>
      <c r="CZ43" s="6">
        <v>40026</v>
      </c>
      <c r="DA43" s="6">
        <v>40057</v>
      </c>
      <c r="DB43" s="6">
        <v>40087</v>
      </c>
      <c r="DC43" s="6">
        <v>40118</v>
      </c>
      <c r="DD43" s="6">
        <v>40148</v>
      </c>
      <c r="DE43" s="6">
        <v>40179</v>
      </c>
      <c r="DF43" s="6">
        <v>40210</v>
      </c>
      <c r="DG43" s="7">
        <v>40238</v>
      </c>
      <c r="DH43" s="8" t="s">
        <v>46</v>
      </c>
      <c r="DI43" s="1"/>
      <c r="DJ43" s="1"/>
      <c r="DK43" s="4" t="s">
        <v>48</v>
      </c>
      <c r="DL43" s="5">
        <v>39904</v>
      </c>
      <c r="DM43" s="6">
        <v>39934</v>
      </c>
      <c r="DN43" s="6">
        <v>39965</v>
      </c>
      <c r="DO43" s="6">
        <v>39995</v>
      </c>
      <c r="DP43" s="6">
        <v>40026</v>
      </c>
      <c r="DQ43" s="6">
        <v>40057</v>
      </c>
      <c r="DR43" s="6">
        <v>40087</v>
      </c>
      <c r="DS43" s="6">
        <v>40118</v>
      </c>
      <c r="DT43" s="6">
        <v>40148</v>
      </c>
      <c r="DU43" s="6">
        <v>40179</v>
      </c>
      <c r="DV43" s="6">
        <v>40210</v>
      </c>
      <c r="DW43" s="7">
        <v>40238</v>
      </c>
      <c r="DX43" s="8" t="s">
        <v>46</v>
      </c>
      <c r="DY43" s="1"/>
      <c r="DZ43" s="1"/>
      <c r="EA43" s="4" t="s">
        <v>48</v>
      </c>
      <c r="EB43" s="5">
        <v>39904</v>
      </c>
      <c r="EC43" s="6">
        <v>39934</v>
      </c>
      <c r="ED43" s="6">
        <v>39965</v>
      </c>
      <c r="EE43" s="6">
        <v>39995</v>
      </c>
      <c r="EF43" s="6">
        <v>40026</v>
      </c>
      <c r="EG43" s="6">
        <v>40057</v>
      </c>
      <c r="EH43" s="6">
        <v>40087</v>
      </c>
      <c r="EI43" s="6">
        <v>40118</v>
      </c>
      <c r="EJ43" s="6">
        <v>40148</v>
      </c>
      <c r="EK43" s="6">
        <v>40179</v>
      </c>
      <c r="EL43" s="6">
        <v>40210</v>
      </c>
      <c r="EM43" s="7">
        <v>40238</v>
      </c>
      <c r="EN43" s="8" t="s">
        <v>46</v>
      </c>
      <c r="EO43" s="1"/>
      <c r="EP43" s="1"/>
      <c r="EQ43" s="4" t="s">
        <v>48</v>
      </c>
      <c r="ER43" s="5">
        <v>39904</v>
      </c>
      <c r="ES43" s="6">
        <v>39934</v>
      </c>
      <c r="ET43" s="6">
        <v>39965</v>
      </c>
      <c r="EU43" s="6">
        <v>39995</v>
      </c>
      <c r="EV43" s="6">
        <v>40026</v>
      </c>
      <c r="EW43" s="6">
        <v>40057</v>
      </c>
      <c r="EX43" s="6">
        <v>40087</v>
      </c>
      <c r="EY43" s="6">
        <v>40118</v>
      </c>
      <c r="EZ43" s="6">
        <v>40148</v>
      </c>
      <c r="FA43" s="6">
        <v>40179</v>
      </c>
      <c r="FB43" s="6">
        <v>40210</v>
      </c>
      <c r="FC43" s="7">
        <v>40238</v>
      </c>
      <c r="FD43" s="8" t="s">
        <v>46</v>
      </c>
      <c r="FE43" s="1"/>
      <c r="FF43" s="1"/>
      <c r="FG43" s="4" t="s">
        <v>48</v>
      </c>
      <c r="FH43" s="5">
        <v>39904</v>
      </c>
      <c r="FI43" s="6">
        <v>39934</v>
      </c>
      <c r="FJ43" s="6">
        <v>39965</v>
      </c>
      <c r="FK43" s="6">
        <v>39995</v>
      </c>
      <c r="FL43" s="6">
        <v>40026</v>
      </c>
      <c r="FM43" s="6">
        <v>40057</v>
      </c>
      <c r="FN43" s="6">
        <v>40087</v>
      </c>
      <c r="FO43" s="6">
        <v>40118</v>
      </c>
      <c r="FP43" s="6">
        <v>40148</v>
      </c>
      <c r="FQ43" s="6">
        <v>40179</v>
      </c>
      <c r="FR43" s="6">
        <v>40210</v>
      </c>
      <c r="FS43" s="7">
        <v>40238</v>
      </c>
      <c r="FT43" s="8" t="s">
        <v>46</v>
      </c>
      <c r="FU43" s="1"/>
      <c r="FV43" s="1"/>
      <c r="FW43" s="4" t="s">
        <v>48</v>
      </c>
      <c r="FX43" s="5">
        <v>39904</v>
      </c>
      <c r="FY43" s="6">
        <v>39934</v>
      </c>
      <c r="FZ43" s="6">
        <v>39965</v>
      </c>
      <c r="GA43" s="6">
        <v>39995</v>
      </c>
      <c r="GB43" s="6">
        <v>40026</v>
      </c>
      <c r="GC43" s="6">
        <v>40057</v>
      </c>
      <c r="GD43" s="6">
        <v>40087</v>
      </c>
      <c r="GE43" s="6">
        <v>40118</v>
      </c>
      <c r="GF43" s="6">
        <v>40148</v>
      </c>
      <c r="GG43" s="6">
        <v>40179</v>
      </c>
      <c r="GH43" s="6">
        <v>40210</v>
      </c>
      <c r="GI43" s="7">
        <v>40238</v>
      </c>
      <c r="GJ43" s="8" t="s">
        <v>46</v>
      </c>
      <c r="GK43" s="1"/>
      <c r="GL43" s="1"/>
      <c r="GM43" s="4" t="s">
        <v>48</v>
      </c>
      <c r="GN43" s="5">
        <v>39904</v>
      </c>
      <c r="GO43" s="6">
        <v>39934</v>
      </c>
      <c r="GP43" s="6">
        <v>39965</v>
      </c>
      <c r="GQ43" s="6">
        <v>39995</v>
      </c>
      <c r="GR43" s="6">
        <v>40026</v>
      </c>
      <c r="GS43" s="6">
        <v>40057</v>
      </c>
      <c r="GT43" s="6">
        <v>40087</v>
      </c>
      <c r="GU43" s="6">
        <v>40118</v>
      </c>
      <c r="GV43" s="6">
        <v>40148</v>
      </c>
      <c r="GW43" s="6">
        <v>40179</v>
      </c>
      <c r="GX43" s="6">
        <v>40210</v>
      </c>
      <c r="GY43" s="7">
        <v>40238</v>
      </c>
      <c r="GZ43" s="8" t="s">
        <v>46</v>
      </c>
      <c r="HA43" s="1"/>
      <c r="HB43" s="1"/>
      <c r="HC43" s="4" t="s">
        <v>48</v>
      </c>
      <c r="HD43" s="5">
        <v>39904</v>
      </c>
      <c r="HE43" s="6">
        <v>39934</v>
      </c>
      <c r="HF43" s="6">
        <v>39965</v>
      </c>
      <c r="HG43" s="6">
        <v>39995</v>
      </c>
      <c r="HH43" s="6">
        <v>40026</v>
      </c>
      <c r="HI43" s="6">
        <v>40057</v>
      </c>
      <c r="HJ43" s="6">
        <v>40087</v>
      </c>
      <c r="HK43" s="6">
        <v>40118</v>
      </c>
      <c r="HL43" s="6">
        <v>40148</v>
      </c>
      <c r="HM43" s="6">
        <v>40179</v>
      </c>
      <c r="HN43" s="6">
        <v>40210</v>
      </c>
      <c r="HO43" s="7">
        <v>40238</v>
      </c>
      <c r="HP43" s="8" t="s">
        <v>46</v>
      </c>
      <c r="HQ43" s="1"/>
      <c r="HR43" s="1"/>
      <c r="HS43" s="4" t="s">
        <v>48</v>
      </c>
      <c r="HT43" s="5">
        <v>39904</v>
      </c>
      <c r="HU43" s="6">
        <v>39934</v>
      </c>
      <c r="HV43" s="6">
        <v>39965</v>
      </c>
      <c r="HW43" s="6">
        <v>39995</v>
      </c>
      <c r="HX43" s="6">
        <v>40026</v>
      </c>
      <c r="HY43" s="6">
        <v>40057</v>
      </c>
      <c r="HZ43" s="6">
        <v>40087</v>
      </c>
      <c r="IA43" s="6">
        <v>40118</v>
      </c>
      <c r="IB43" s="6">
        <v>40148</v>
      </c>
      <c r="IC43" s="6">
        <v>40179</v>
      </c>
      <c r="ID43" s="6">
        <v>40210</v>
      </c>
      <c r="IE43" s="7">
        <v>40238</v>
      </c>
      <c r="IF43" s="8" t="s">
        <v>46</v>
      </c>
      <c r="IG43" s="1"/>
      <c r="IH43" s="1"/>
      <c r="II43" s="4" t="s">
        <v>48</v>
      </c>
      <c r="IJ43" s="5">
        <v>39904</v>
      </c>
      <c r="IK43" s="6">
        <v>39934</v>
      </c>
      <c r="IL43" s="6">
        <v>39965</v>
      </c>
      <c r="IM43" s="6">
        <v>39995</v>
      </c>
      <c r="IN43" s="6">
        <v>40026</v>
      </c>
      <c r="IO43" s="6">
        <v>40057</v>
      </c>
      <c r="IP43" s="6">
        <v>40087</v>
      </c>
      <c r="IQ43" s="6">
        <v>40118</v>
      </c>
      <c r="IR43" s="6">
        <v>40148</v>
      </c>
      <c r="IS43" s="6">
        <v>40179</v>
      </c>
      <c r="IT43" s="6">
        <v>40210</v>
      </c>
      <c r="IU43" s="7">
        <v>40238</v>
      </c>
      <c r="IV43" s="8" t="s">
        <v>46</v>
      </c>
    </row>
    <row r="44" spans="1:256" ht="13.5" customHeight="1">
      <c r="A44" s="1"/>
      <c r="B44" s="791" t="s">
        <v>173</v>
      </c>
      <c r="C44" s="9" t="s">
        <v>181</v>
      </c>
      <c r="D44" s="60">
        <v>371</v>
      </c>
      <c r="E44" s="61">
        <v>383</v>
      </c>
      <c r="F44" s="61">
        <v>371</v>
      </c>
      <c r="G44" s="61">
        <v>383</v>
      </c>
      <c r="H44" s="61">
        <v>383</v>
      </c>
      <c r="I44" s="61">
        <v>371</v>
      </c>
      <c r="J44" s="61">
        <v>383</v>
      </c>
      <c r="K44" s="61">
        <v>371</v>
      </c>
      <c r="L44" s="61">
        <v>383</v>
      </c>
      <c r="M44" s="61">
        <v>383</v>
      </c>
      <c r="N44" s="61">
        <v>346</v>
      </c>
      <c r="O44" s="62">
        <v>383</v>
      </c>
      <c r="P44" s="53"/>
      <c r="Q44" s="1"/>
      <c r="R44" s="788"/>
      <c r="S44" s="9" t="s">
        <v>168</v>
      </c>
      <c r="T44" s="60">
        <v>673</v>
      </c>
      <c r="U44" s="61">
        <v>695</v>
      </c>
      <c r="V44" s="61">
        <v>673</v>
      </c>
      <c r="W44" s="61">
        <v>695</v>
      </c>
      <c r="X44" s="61">
        <v>695</v>
      </c>
      <c r="Y44" s="61">
        <v>673</v>
      </c>
      <c r="Z44" s="61">
        <v>695</v>
      </c>
      <c r="AA44" s="61">
        <v>673</v>
      </c>
      <c r="AB44" s="61">
        <v>695</v>
      </c>
      <c r="AC44" s="61">
        <v>695</v>
      </c>
      <c r="AD44" s="61">
        <v>628</v>
      </c>
      <c r="AE44" s="62">
        <v>695</v>
      </c>
      <c r="AF44" s="53"/>
      <c r="AG44" s="1"/>
      <c r="AH44" s="788"/>
      <c r="AI44" s="9" t="s">
        <v>168</v>
      </c>
      <c r="AJ44" s="60">
        <v>673</v>
      </c>
      <c r="AK44" s="61">
        <v>695</v>
      </c>
      <c r="AL44" s="61">
        <v>673</v>
      </c>
      <c r="AM44" s="61">
        <v>695</v>
      </c>
      <c r="AN44" s="61">
        <v>695</v>
      </c>
      <c r="AO44" s="61">
        <v>673</v>
      </c>
      <c r="AP44" s="61">
        <v>695</v>
      </c>
      <c r="AQ44" s="61">
        <v>673</v>
      </c>
      <c r="AR44" s="61">
        <v>695</v>
      </c>
      <c r="AS44" s="61">
        <v>695</v>
      </c>
      <c r="AT44" s="61">
        <v>628</v>
      </c>
      <c r="AU44" s="62">
        <v>695</v>
      </c>
      <c r="AV44" s="53"/>
      <c r="AW44" s="1"/>
      <c r="AX44" s="788"/>
      <c r="AY44" s="9" t="s">
        <v>168</v>
      </c>
      <c r="AZ44" s="60">
        <v>673</v>
      </c>
      <c r="BA44" s="61">
        <v>695</v>
      </c>
      <c r="BB44" s="61">
        <v>673</v>
      </c>
      <c r="BC44" s="61">
        <v>695</v>
      </c>
      <c r="BD44" s="61">
        <v>695</v>
      </c>
      <c r="BE44" s="61">
        <v>673</v>
      </c>
      <c r="BF44" s="61">
        <v>695</v>
      </c>
      <c r="BG44" s="61">
        <v>673</v>
      </c>
      <c r="BH44" s="61">
        <v>695</v>
      </c>
      <c r="BI44" s="61">
        <v>695</v>
      </c>
      <c r="BJ44" s="61">
        <v>628</v>
      </c>
      <c r="BK44" s="62">
        <v>695</v>
      </c>
      <c r="BL44" s="53"/>
      <c r="BM44" s="1"/>
      <c r="BN44" s="788"/>
      <c r="BO44" s="9" t="s">
        <v>168</v>
      </c>
      <c r="BP44" s="60">
        <v>673</v>
      </c>
      <c r="BQ44" s="61">
        <v>695</v>
      </c>
      <c r="BR44" s="61">
        <v>673</v>
      </c>
      <c r="BS44" s="61">
        <v>695</v>
      </c>
      <c r="BT44" s="61">
        <v>695</v>
      </c>
      <c r="BU44" s="61">
        <v>673</v>
      </c>
      <c r="BV44" s="61">
        <v>695</v>
      </c>
      <c r="BW44" s="61">
        <v>673</v>
      </c>
      <c r="BX44" s="61">
        <v>695</v>
      </c>
      <c r="BY44" s="61">
        <v>695</v>
      </c>
      <c r="BZ44" s="61">
        <v>628</v>
      </c>
      <c r="CA44" s="62">
        <v>695</v>
      </c>
      <c r="CB44" s="53"/>
      <c r="CC44" s="1"/>
      <c r="CD44" s="788"/>
      <c r="CE44" s="9" t="s">
        <v>168</v>
      </c>
      <c r="CF44" s="60">
        <v>673</v>
      </c>
      <c r="CG44" s="61">
        <v>695</v>
      </c>
      <c r="CH44" s="61">
        <v>673</v>
      </c>
      <c r="CI44" s="61">
        <v>695</v>
      </c>
      <c r="CJ44" s="61">
        <v>695</v>
      </c>
      <c r="CK44" s="61">
        <v>673</v>
      </c>
      <c r="CL44" s="61">
        <v>695</v>
      </c>
      <c r="CM44" s="61">
        <v>673</v>
      </c>
      <c r="CN44" s="61">
        <v>695</v>
      </c>
      <c r="CO44" s="61">
        <v>695</v>
      </c>
      <c r="CP44" s="61">
        <v>628</v>
      </c>
      <c r="CQ44" s="62">
        <v>695</v>
      </c>
      <c r="CR44" s="53"/>
      <c r="CS44" s="1"/>
      <c r="CT44" s="788"/>
      <c r="CU44" s="9" t="s">
        <v>168</v>
      </c>
      <c r="CV44" s="60">
        <v>673</v>
      </c>
      <c r="CW44" s="61">
        <v>695</v>
      </c>
      <c r="CX44" s="61">
        <v>673</v>
      </c>
      <c r="CY44" s="61">
        <v>695</v>
      </c>
      <c r="CZ44" s="61">
        <v>695</v>
      </c>
      <c r="DA44" s="61">
        <v>673</v>
      </c>
      <c r="DB44" s="61">
        <v>695</v>
      </c>
      <c r="DC44" s="61">
        <v>673</v>
      </c>
      <c r="DD44" s="61">
        <v>695</v>
      </c>
      <c r="DE44" s="61">
        <v>695</v>
      </c>
      <c r="DF44" s="61">
        <v>628</v>
      </c>
      <c r="DG44" s="62">
        <v>695</v>
      </c>
      <c r="DH44" s="53"/>
      <c r="DI44" s="1"/>
      <c r="DJ44" s="788"/>
      <c r="DK44" s="9" t="s">
        <v>168</v>
      </c>
      <c r="DL44" s="60">
        <v>673</v>
      </c>
      <c r="DM44" s="61">
        <v>695</v>
      </c>
      <c r="DN44" s="61">
        <v>673</v>
      </c>
      <c r="DO44" s="61">
        <v>695</v>
      </c>
      <c r="DP44" s="61">
        <v>695</v>
      </c>
      <c r="DQ44" s="61">
        <v>673</v>
      </c>
      <c r="DR44" s="61">
        <v>695</v>
      </c>
      <c r="DS44" s="61">
        <v>673</v>
      </c>
      <c r="DT44" s="61">
        <v>695</v>
      </c>
      <c r="DU44" s="61">
        <v>695</v>
      </c>
      <c r="DV44" s="61">
        <v>628</v>
      </c>
      <c r="DW44" s="62">
        <v>695</v>
      </c>
      <c r="DX44" s="53"/>
      <c r="DY44" s="1"/>
      <c r="DZ44" s="788"/>
      <c r="EA44" s="9" t="s">
        <v>168</v>
      </c>
      <c r="EB44" s="60">
        <v>673</v>
      </c>
      <c r="EC44" s="61">
        <v>695</v>
      </c>
      <c r="ED44" s="61">
        <v>673</v>
      </c>
      <c r="EE44" s="61">
        <v>695</v>
      </c>
      <c r="EF44" s="61">
        <v>695</v>
      </c>
      <c r="EG44" s="61">
        <v>673</v>
      </c>
      <c r="EH44" s="61">
        <v>695</v>
      </c>
      <c r="EI44" s="61">
        <v>673</v>
      </c>
      <c r="EJ44" s="61">
        <v>695</v>
      </c>
      <c r="EK44" s="61">
        <v>695</v>
      </c>
      <c r="EL44" s="61">
        <v>628</v>
      </c>
      <c r="EM44" s="62">
        <v>695</v>
      </c>
      <c r="EN44" s="53"/>
      <c r="EO44" s="1"/>
      <c r="EP44" s="788"/>
      <c r="EQ44" s="9" t="s">
        <v>168</v>
      </c>
      <c r="ER44" s="60">
        <v>673</v>
      </c>
      <c r="ES44" s="61">
        <v>695</v>
      </c>
      <c r="ET44" s="61">
        <v>673</v>
      </c>
      <c r="EU44" s="61">
        <v>695</v>
      </c>
      <c r="EV44" s="61">
        <v>695</v>
      </c>
      <c r="EW44" s="61">
        <v>673</v>
      </c>
      <c r="EX44" s="61">
        <v>695</v>
      </c>
      <c r="EY44" s="61">
        <v>673</v>
      </c>
      <c r="EZ44" s="61">
        <v>695</v>
      </c>
      <c r="FA44" s="61">
        <v>695</v>
      </c>
      <c r="FB44" s="61">
        <v>628</v>
      </c>
      <c r="FC44" s="62">
        <v>695</v>
      </c>
      <c r="FD44" s="53"/>
      <c r="FE44" s="1"/>
      <c r="FF44" s="788"/>
      <c r="FG44" s="9" t="s">
        <v>168</v>
      </c>
      <c r="FH44" s="60">
        <v>673</v>
      </c>
      <c r="FI44" s="61">
        <v>695</v>
      </c>
      <c r="FJ44" s="61">
        <v>673</v>
      </c>
      <c r="FK44" s="61">
        <v>695</v>
      </c>
      <c r="FL44" s="61">
        <v>695</v>
      </c>
      <c r="FM44" s="61">
        <v>673</v>
      </c>
      <c r="FN44" s="61">
        <v>695</v>
      </c>
      <c r="FO44" s="61">
        <v>673</v>
      </c>
      <c r="FP44" s="61">
        <v>695</v>
      </c>
      <c r="FQ44" s="61">
        <v>695</v>
      </c>
      <c r="FR44" s="61">
        <v>628</v>
      </c>
      <c r="FS44" s="62">
        <v>695</v>
      </c>
      <c r="FT44" s="53"/>
      <c r="FU44" s="1"/>
      <c r="FV44" s="788"/>
      <c r="FW44" s="9" t="s">
        <v>168</v>
      </c>
      <c r="FX44" s="60">
        <v>673</v>
      </c>
      <c r="FY44" s="61">
        <v>695</v>
      </c>
      <c r="FZ44" s="61">
        <v>673</v>
      </c>
      <c r="GA44" s="61">
        <v>695</v>
      </c>
      <c r="GB44" s="61">
        <v>695</v>
      </c>
      <c r="GC44" s="61">
        <v>673</v>
      </c>
      <c r="GD44" s="61">
        <v>695</v>
      </c>
      <c r="GE44" s="61">
        <v>673</v>
      </c>
      <c r="GF44" s="61">
        <v>695</v>
      </c>
      <c r="GG44" s="61">
        <v>695</v>
      </c>
      <c r="GH44" s="61">
        <v>628</v>
      </c>
      <c r="GI44" s="62">
        <v>695</v>
      </c>
      <c r="GJ44" s="53"/>
      <c r="GK44" s="1"/>
      <c r="GL44" s="788"/>
      <c r="GM44" s="9" t="s">
        <v>168</v>
      </c>
      <c r="GN44" s="60">
        <v>673</v>
      </c>
      <c r="GO44" s="61">
        <v>695</v>
      </c>
      <c r="GP44" s="61">
        <v>673</v>
      </c>
      <c r="GQ44" s="61">
        <v>695</v>
      </c>
      <c r="GR44" s="61">
        <v>695</v>
      </c>
      <c r="GS44" s="61">
        <v>673</v>
      </c>
      <c r="GT44" s="61">
        <v>695</v>
      </c>
      <c r="GU44" s="61">
        <v>673</v>
      </c>
      <c r="GV44" s="61">
        <v>695</v>
      </c>
      <c r="GW44" s="61">
        <v>695</v>
      </c>
      <c r="GX44" s="61">
        <v>628</v>
      </c>
      <c r="GY44" s="62">
        <v>695</v>
      </c>
      <c r="GZ44" s="53"/>
      <c r="HA44" s="1"/>
      <c r="HB44" s="788"/>
      <c r="HC44" s="9" t="s">
        <v>168</v>
      </c>
      <c r="HD44" s="60">
        <v>673</v>
      </c>
      <c r="HE44" s="61">
        <v>695</v>
      </c>
      <c r="HF44" s="61">
        <v>673</v>
      </c>
      <c r="HG44" s="61">
        <v>695</v>
      </c>
      <c r="HH44" s="61">
        <v>695</v>
      </c>
      <c r="HI44" s="61">
        <v>673</v>
      </c>
      <c r="HJ44" s="61">
        <v>695</v>
      </c>
      <c r="HK44" s="61">
        <v>673</v>
      </c>
      <c r="HL44" s="61">
        <v>695</v>
      </c>
      <c r="HM44" s="61">
        <v>695</v>
      </c>
      <c r="HN44" s="61">
        <v>628</v>
      </c>
      <c r="HO44" s="62">
        <v>695</v>
      </c>
      <c r="HP44" s="53"/>
      <c r="HQ44" s="1"/>
      <c r="HR44" s="788"/>
      <c r="HS44" s="9" t="s">
        <v>168</v>
      </c>
      <c r="HT44" s="60">
        <v>673</v>
      </c>
      <c r="HU44" s="61">
        <v>695</v>
      </c>
      <c r="HV44" s="61">
        <v>673</v>
      </c>
      <c r="HW44" s="61">
        <v>695</v>
      </c>
      <c r="HX44" s="61">
        <v>695</v>
      </c>
      <c r="HY44" s="61">
        <v>673</v>
      </c>
      <c r="HZ44" s="61">
        <v>695</v>
      </c>
      <c r="IA44" s="61">
        <v>673</v>
      </c>
      <c r="IB44" s="61">
        <v>695</v>
      </c>
      <c r="IC44" s="61">
        <v>695</v>
      </c>
      <c r="ID44" s="61">
        <v>628</v>
      </c>
      <c r="IE44" s="62">
        <v>695</v>
      </c>
      <c r="IF44" s="53"/>
      <c r="IG44" s="1"/>
      <c r="IH44" s="788"/>
      <c r="II44" s="9" t="s">
        <v>168</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788"/>
      <c r="C45" s="84" t="s">
        <v>183</v>
      </c>
      <c r="D45" s="76">
        <v>29</v>
      </c>
      <c r="E45" s="77">
        <v>30</v>
      </c>
      <c r="F45" s="77">
        <v>29</v>
      </c>
      <c r="G45" s="77">
        <v>30</v>
      </c>
      <c r="H45" s="77">
        <v>30</v>
      </c>
      <c r="I45" s="77">
        <v>29</v>
      </c>
      <c r="J45" s="77">
        <v>30</v>
      </c>
      <c r="K45" s="77">
        <v>29</v>
      </c>
      <c r="L45" s="77">
        <v>30</v>
      </c>
      <c r="M45" s="77">
        <v>30</v>
      </c>
      <c r="N45" s="77">
        <v>27</v>
      </c>
      <c r="O45" s="78">
        <v>30</v>
      </c>
      <c r="P45" s="79"/>
      <c r="Q45" s="1"/>
      <c r="R45" s="788"/>
      <c r="S45" s="50"/>
      <c r="T45" s="60"/>
      <c r="U45" s="61"/>
      <c r="V45" s="61"/>
      <c r="W45" s="61"/>
      <c r="X45" s="61"/>
      <c r="Y45" s="61"/>
      <c r="Z45" s="61"/>
      <c r="AA45" s="61"/>
      <c r="AB45" s="61"/>
      <c r="AC45" s="61"/>
      <c r="AD45" s="61"/>
      <c r="AE45" s="62"/>
      <c r="AF45" s="79"/>
      <c r="AG45" s="1"/>
      <c r="AH45" s="788"/>
      <c r="AI45" s="50"/>
      <c r="AJ45" s="60"/>
      <c r="AK45" s="61"/>
      <c r="AL45" s="61"/>
      <c r="AM45" s="61"/>
      <c r="AN45" s="61"/>
      <c r="AO45" s="61"/>
      <c r="AP45" s="61"/>
      <c r="AQ45" s="61"/>
      <c r="AR45" s="61"/>
      <c r="AS45" s="61"/>
      <c r="AT45" s="61"/>
      <c r="AU45" s="62"/>
      <c r="AV45" s="79"/>
      <c r="AW45" s="1"/>
      <c r="AX45" s="788"/>
      <c r="AY45" s="50"/>
      <c r="AZ45" s="60"/>
      <c r="BA45" s="61"/>
      <c r="BB45" s="61"/>
      <c r="BC45" s="61"/>
      <c r="BD45" s="61"/>
      <c r="BE45" s="61"/>
      <c r="BF45" s="61"/>
      <c r="BG45" s="61"/>
      <c r="BH45" s="61"/>
      <c r="BI45" s="61"/>
      <c r="BJ45" s="61"/>
      <c r="BK45" s="62"/>
      <c r="BL45" s="79"/>
      <c r="BM45" s="1"/>
      <c r="BN45" s="788"/>
      <c r="BO45" s="50"/>
      <c r="BP45" s="60"/>
      <c r="BQ45" s="61"/>
      <c r="BR45" s="61"/>
      <c r="BS45" s="61"/>
      <c r="BT45" s="61"/>
      <c r="BU45" s="61"/>
      <c r="BV45" s="61"/>
      <c r="BW45" s="61"/>
      <c r="BX45" s="61"/>
      <c r="BY45" s="61"/>
      <c r="BZ45" s="61"/>
      <c r="CA45" s="62"/>
      <c r="CB45" s="79"/>
      <c r="CC45" s="1"/>
      <c r="CD45" s="788"/>
      <c r="CE45" s="50"/>
      <c r="CF45" s="60"/>
      <c r="CG45" s="61"/>
      <c r="CH45" s="61"/>
      <c r="CI45" s="61"/>
      <c r="CJ45" s="61"/>
      <c r="CK45" s="61"/>
      <c r="CL45" s="61"/>
      <c r="CM45" s="61"/>
      <c r="CN45" s="61"/>
      <c r="CO45" s="61"/>
      <c r="CP45" s="61"/>
      <c r="CQ45" s="62"/>
      <c r="CR45" s="79"/>
      <c r="CS45" s="1"/>
      <c r="CT45" s="788"/>
      <c r="CU45" s="50"/>
      <c r="CV45" s="60"/>
      <c r="CW45" s="61"/>
      <c r="CX45" s="61"/>
      <c r="CY45" s="61"/>
      <c r="CZ45" s="61"/>
      <c r="DA45" s="61"/>
      <c r="DB45" s="61"/>
      <c r="DC45" s="61"/>
      <c r="DD45" s="61"/>
      <c r="DE45" s="61"/>
      <c r="DF45" s="61"/>
      <c r="DG45" s="62"/>
      <c r="DH45" s="79"/>
      <c r="DI45" s="1"/>
      <c r="DJ45" s="788"/>
      <c r="DK45" s="50"/>
      <c r="DL45" s="60"/>
      <c r="DM45" s="61"/>
      <c r="DN45" s="61"/>
      <c r="DO45" s="61"/>
      <c r="DP45" s="61"/>
      <c r="DQ45" s="61"/>
      <c r="DR45" s="61"/>
      <c r="DS45" s="61"/>
      <c r="DT45" s="61"/>
      <c r="DU45" s="61"/>
      <c r="DV45" s="61"/>
      <c r="DW45" s="62"/>
      <c r="DX45" s="79"/>
      <c r="DY45" s="1"/>
      <c r="DZ45" s="788"/>
      <c r="EA45" s="50"/>
      <c r="EB45" s="60"/>
      <c r="EC45" s="61"/>
      <c r="ED45" s="61"/>
      <c r="EE45" s="61"/>
      <c r="EF45" s="61"/>
      <c r="EG45" s="61"/>
      <c r="EH45" s="61"/>
      <c r="EI45" s="61"/>
      <c r="EJ45" s="61"/>
      <c r="EK45" s="61"/>
      <c r="EL45" s="61"/>
      <c r="EM45" s="62"/>
      <c r="EN45" s="79"/>
      <c r="EO45" s="1"/>
      <c r="EP45" s="788"/>
      <c r="EQ45" s="50"/>
      <c r="ER45" s="60"/>
      <c r="ES45" s="61"/>
      <c r="ET45" s="61"/>
      <c r="EU45" s="61"/>
      <c r="EV45" s="61"/>
      <c r="EW45" s="61"/>
      <c r="EX45" s="61"/>
      <c r="EY45" s="61"/>
      <c r="EZ45" s="61"/>
      <c r="FA45" s="61"/>
      <c r="FB45" s="61"/>
      <c r="FC45" s="62"/>
      <c r="FD45" s="79"/>
      <c r="FE45" s="1"/>
      <c r="FF45" s="788"/>
      <c r="FG45" s="50"/>
      <c r="FH45" s="60"/>
      <c r="FI45" s="61"/>
      <c r="FJ45" s="61"/>
      <c r="FK45" s="61"/>
      <c r="FL45" s="61"/>
      <c r="FM45" s="61"/>
      <c r="FN45" s="61"/>
      <c r="FO45" s="61"/>
      <c r="FP45" s="61"/>
      <c r="FQ45" s="61"/>
      <c r="FR45" s="61"/>
      <c r="FS45" s="62"/>
      <c r="FT45" s="79"/>
      <c r="FU45" s="1"/>
      <c r="FV45" s="788"/>
      <c r="FW45" s="50"/>
      <c r="FX45" s="60"/>
      <c r="FY45" s="61"/>
      <c r="FZ45" s="61"/>
      <c r="GA45" s="61"/>
      <c r="GB45" s="61"/>
      <c r="GC45" s="61"/>
      <c r="GD45" s="61"/>
      <c r="GE45" s="61"/>
      <c r="GF45" s="61"/>
      <c r="GG45" s="61"/>
      <c r="GH45" s="61"/>
      <c r="GI45" s="62"/>
      <c r="GJ45" s="79"/>
      <c r="GK45" s="1"/>
      <c r="GL45" s="788"/>
      <c r="GM45" s="50"/>
      <c r="GN45" s="60"/>
      <c r="GO45" s="61"/>
      <c r="GP45" s="61"/>
      <c r="GQ45" s="61"/>
      <c r="GR45" s="61"/>
      <c r="GS45" s="61"/>
      <c r="GT45" s="61"/>
      <c r="GU45" s="61"/>
      <c r="GV45" s="61"/>
      <c r="GW45" s="61"/>
      <c r="GX45" s="61"/>
      <c r="GY45" s="62"/>
      <c r="GZ45" s="79"/>
      <c r="HA45" s="1"/>
      <c r="HB45" s="788"/>
      <c r="HC45" s="50"/>
      <c r="HD45" s="60"/>
      <c r="HE45" s="61"/>
      <c r="HF45" s="61"/>
      <c r="HG45" s="61"/>
      <c r="HH45" s="61"/>
      <c r="HI45" s="61"/>
      <c r="HJ45" s="61"/>
      <c r="HK45" s="61"/>
      <c r="HL45" s="61"/>
      <c r="HM45" s="61"/>
      <c r="HN45" s="61"/>
      <c r="HO45" s="62"/>
      <c r="HP45" s="79"/>
      <c r="HQ45" s="1"/>
      <c r="HR45" s="788"/>
      <c r="HS45" s="50"/>
      <c r="HT45" s="60"/>
      <c r="HU45" s="61"/>
      <c r="HV45" s="61"/>
      <c r="HW45" s="61"/>
      <c r="HX45" s="61"/>
      <c r="HY45" s="61"/>
      <c r="HZ45" s="61"/>
      <c r="IA45" s="61"/>
      <c r="IB45" s="61"/>
      <c r="IC45" s="61"/>
      <c r="ID45" s="61"/>
      <c r="IE45" s="62"/>
      <c r="IF45" s="79"/>
      <c r="IG45" s="1"/>
      <c r="IH45" s="788"/>
      <c r="II45" s="50"/>
      <c r="IJ45" s="60"/>
      <c r="IK45" s="61"/>
      <c r="IL45" s="61"/>
      <c r="IM45" s="61"/>
      <c r="IN45" s="61"/>
      <c r="IO45" s="61"/>
      <c r="IP45" s="61"/>
      <c r="IQ45" s="61"/>
      <c r="IR45" s="61"/>
      <c r="IS45" s="61"/>
      <c r="IT45" s="61"/>
      <c r="IU45" s="62"/>
      <c r="IV45" s="79"/>
    </row>
    <row r="46" spans="1:256" ht="13.5" thickBot="1">
      <c r="A46" s="1"/>
      <c r="B46" s="790"/>
      <c r="C46" s="54" t="s">
        <v>184</v>
      </c>
      <c r="D46" s="56">
        <v>273</v>
      </c>
      <c r="E46" s="57">
        <v>282</v>
      </c>
      <c r="F46" s="57">
        <v>273</v>
      </c>
      <c r="G46" s="57">
        <v>282</v>
      </c>
      <c r="H46" s="57">
        <v>282</v>
      </c>
      <c r="I46" s="57">
        <v>273</v>
      </c>
      <c r="J46" s="57">
        <v>282</v>
      </c>
      <c r="K46" s="57">
        <v>273</v>
      </c>
      <c r="L46" s="57">
        <v>282</v>
      </c>
      <c r="M46" s="57">
        <v>282</v>
      </c>
      <c r="N46" s="57">
        <v>255</v>
      </c>
      <c r="O46" s="58">
        <v>282</v>
      </c>
      <c r="P46" s="59"/>
      <c r="Q46" s="1"/>
      <c r="R46" s="790"/>
      <c r="S46" s="54" t="s">
        <v>169</v>
      </c>
      <c r="T46" s="60">
        <v>273</v>
      </c>
      <c r="U46" s="61">
        <v>282</v>
      </c>
      <c r="V46" s="61">
        <v>273</v>
      </c>
      <c r="W46" s="61">
        <v>282</v>
      </c>
      <c r="X46" s="61">
        <v>282</v>
      </c>
      <c r="Y46" s="61">
        <v>273</v>
      </c>
      <c r="Z46" s="61">
        <v>282</v>
      </c>
      <c r="AA46" s="61">
        <v>273</v>
      </c>
      <c r="AB46" s="61">
        <v>282</v>
      </c>
      <c r="AC46" s="61">
        <v>282</v>
      </c>
      <c r="AD46" s="61">
        <v>255</v>
      </c>
      <c r="AE46" s="62">
        <v>282</v>
      </c>
      <c r="AF46" s="63"/>
      <c r="AG46" s="1"/>
      <c r="AH46" s="790"/>
      <c r="AI46" s="54" t="s">
        <v>169</v>
      </c>
      <c r="AJ46" s="60">
        <v>273</v>
      </c>
      <c r="AK46" s="61">
        <v>282</v>
      </c>
      <c r="AL46" s="61">
        <v>273</v>
      </c>
      <c r="AM46" s="61">
        <v>282</v>
      </c>
      <c r="AN46" s="61">
        <v>282</v>
      </c>
      <c r="AO46" s="61">
        <v>273</v>
      </c>
      <c r="AP46" s="61">
        <v>282</v>
      </c>
      <c r="AQ46" s="61">
        <v>273</v>
      </c>
      <c r="AR46" s="61">
        <v>282</v>
      </c>
      <c r="AS46" s="61">
        <v>282</v>
      </c>
      <c r="AT46" s="61">
        <v>255</v>
      </c>
      <c r="AU46" s="62">
        <v>282</v>
      </c>
      <c r="AV46" s="63"/>
      <c r="AW46" s="1"/>
      <c r="AX46" s="790"/>
      <c r="AY46" s="54" t="s">
        <v>169</v>
      </c>
      <c r="AZ46" s="60">
        <v>273</v>
      </c>
      <c r="BA46" s="61">
        <v>282</v>
      </c>
      <c r="BB46" s="61">
        <v>273</v>
      </c>
      <c r="BC46" s="61">
        <v>282</v>
      </c>
      <c r="BD46" s="61">
        <v>282</v>
      </c>
      <c r="BE46" s="61">
        <v>273</v>
      </c>
      <c r="BF46" s="61">
        <v>282</v>
      </c>
      <c r="BG46" s="61">
        <v>273</v>
      </c>
      <c r="BH46" s="61">
        <v>282</v>
      </c>
      <c r="BI46" s="61">
        <v>282</v>
      </c>
      <c r="BJ46" s="61">
        <v>255</v>
      </c>
      <c r="BK46" s="62">
        <v>282</v>
      </c>
      <c r="BL46" s="63"/>
      <c r="BM46" s="1"/>
      <c r="BN46" s="790"/>
      <c r="BO46" s="54" t="s">
        <v>169</v>
      </c>
      <c r="BP46" s="60">
        <v>273</v>
      </c>
      <c r="BQ46" s="61">
        <v>282</v>
      </c>
      <c r="BR46" s="61">
        <v>273</v>
      </c>
      <c r="BS46" s="61">
        <v>282</v>
      </c>
      <c r="BT46" s="61">
        <v>282</v>
      </c>
      <c r="BU46" s="61">
        <v>273</v>
      </c>
      <c r="BV46" s="61">
        <v>282</v>
      </c>
      <c r="BW46" s="61">
        <v>273</v>
      </c>
      <c r="BX46" s="61">
        <v>282</v>
      </c>
      <c r="BY46" s="61">
        <v>282</v>
      </c>
      <c r="BZ46" s="61">
        <v>255</v>
      </c>
      <c r="CA46" s="62">
        <v>282</v>
      </c>
      <c r="CB46" s="63"/>
      <c r="CC46" s="1"/>
      <c r="CD46" s="790"/>
      <c r="CE46" s="54" t="s">
        <v>169</v>
      </c>
      <c r="CF46" s="60">
        <v>273</v>
      </c>
      <c r="CG46" s="61">
        <v>282</v>
      </c>
      <c r="CH46" s="61">
        <v>273</v>
      </c>
      <c r="CI46" s="61">
        <v>282</v>
      </c>
      <c r="CJ46" s="61">
        <v>282</v>
      </c>
      <c r="CK46" s="61">
        <v>273</v>
      </c>
      <c r="CL46" s="61">
        <v>282</v>
      </c>
      <c r="CM46" s="61">
        <v>273</v>
      </c>
      <c r="CN46" s="61">
        <v>282</v>
      </c>
      <c r="CO46" s="61">
        <v>282</v>
      </c>
      <c r="CP46" s="61">
        <v>255</v>
      </c>
      <c r="CQ46" s="62">
        <v>282</v>
      </c>
      <c r="CR46" s="63"/>
      <c r="CS46" s="1"/>
      <c r="CT46" s="790"/>
      <c r="CU46" s="54" t="s">
        <v>169</v>
      </c>
      <c r="CV46" s="60">
        <v>273</v>
      </c>
      <c r="CW46" s="61">
        <v>282</v>
      </c>
      <c r="CX46" s="61">
        <v>273</v>
      </c>
      <c r="CY46" s="61">
        <v>282</v>
      </c>
      <c r="CZ46" s="61">
        <v>282</v>
      </c>
      <c r="DA46" s="61">
        <v>273</v>
      </c>
      <c r="DB46" s="61">
        <v>282</v>
      </c>
      <c r="DC46" s="61">
        <v>273</v>
      </c>
      <c r="DD46" s="61">
        <v>282</v>
      </c>
      <c r="DE46" s="61">
        <v>282</v>
      </c>
      <c r="DF46" s="61">
        <v>255</v>
      </c>
      <c r="DG46" s="62">
        <v>282</v>
      </c>
      <c r="DH46" s="63"/>
      <c r="DI46" s="1"/>
      <c r="DJ46" s="790"/>
      <c r="DK46" s="54" t="s">
        <v>169</v>
      </c>
      <c r="DL46" s="60">
        <v>273</v>
      </c>
      <c r="DM46" s="61">
        <v>282</v>
      </c>
      <c r="DN46" s="61">
        <v>273</v>
      </c>
      <c r="DO46" s="61">
        <v>282</v>
      </c>
      <c r="DP46" s="61">
        <v>282</v>
      </c>
      <c r="DQ46" s="61">
        <v>273</v>
      </c>
      <c r="DR46" s="61">
        <v>282</v>
      </c>
      <c r="DS46" s="61">
        <v>273</v>
      </c>
      <c r="DT46" s="61">
        <v>282</v>
      </c>
      <c r="DU46" s="61">
        <v>282</v>
      </c>
      <c r="DV46" s="61">
        <v>255</v>
      </c>
      <c r="DW46" s="62">
        <v>282</v>
      </c>
      <c r="DX46" s="63"/>
      <c r="DY46" s="1"/>
      <c r="DZ46" s="790"/>
      <c r="EA46" s="54" t="s">
        <v>169</v>
      </c>
      <c r="EB46" s="60">
        <v>273</v>
      </c>
      <c r="EC46" s="61">
        <v>282</v>
      </c>
      <c r="ED46" s="61">
        <v>273</v>
      </c>
      <c r="EE46" s="61">
        <v>282</v>
      </c>
      <c r="EF46" s="61">
        <v>282</v>
      </c>
      <c r="EG46" s="61">
        <v>273</v>
      </c>
      <c r="EH46" s="61">
        <v>282</v>
      </c>
      <c r="EI46" s="61">
        <v>273</v>
      </c>
      <c r="EJ46" s="61">
        <v>282</v>
      </c>
      <c r="EK46" s="61">
        <v>282</v>
      </c>
      <c r="EL46" s="61">
        <v>255</v>
      </c>
      <c r="EM46" s="62">
        <v>282</v>
      </c>
      <c r="EN46" s="63"/>
      <c r="EO46" s="1"/>
      <c r="EP46" s="790"/>
      <c r="EQ46" s="54" t="s">
        <v>169</v>
      </c>
      <c r="ER46" s="60">
        <v>273</v>
      </c>
      <c r="ES46" s="61">
        <v>282</v>
      </c>
      <c r="ET46" s="61">
        <v>273</v>
      </c>
      <c r="EU46" s="61">
        <v>282</v>
      </c>
      <c r="EV46" s="61">
        <v>282</v>
      </c>
      <c r="EW46" s="61">
        <v>273</v>
      </c>
      <c r="EX46" s="61">
        <v>282</v>
      </c>
      <c r="EY46" s="61">
        <v>273</v>
      </c>
      <c r="EZ46" s="61">
        <v>282</v>
      </c>
      <c r="FA46" s="61">
        <v>282</v>
      </c>
      <c r="FB46" s="61">
        <v>255</v>
      </c>
      <c r="FC46" s="62">
        <v>282</v>
      </c>
      <c r="FD46" s="63"/>
      <c r="FE46" s="1"/>
      <c r="FF46" s="790"/>
      <c r="FG46" s="54" t="s">
        <v>169</v>
      </c>
      <c r="FH46" s="60">
        <v>273</v>
      </c>
      <c r="FI46" s="61">
        <v>282</v>
      </c>
      <c r="FJ46" s="61">
        <v>273</v>
      </c>
      <c r="FK46" s="61">
        <v>282</v>
      </c>
      <c r="FL46" s="61">
        <v>282</v>
      </c>
      <c r="FM46" s="61">
        <v>273</v>
      </c>
      <c r="FN46" s="61">
        <v>282</v>
      </c>
      <c r="FO46" s="61">
        <v>273</v>
      </c>
      <c r="FP46" s="61">
        <v>282</v>
      </c>
      <c r="FQ46" s="61">
        <v>282</v>
      </c>
      <c r="FR46" s="61">
        <v>255</v>
      </c>
      <c r="FS46" s="62">
        <v>282</v>
      </c>
      <c r="FT46" s="63"/>
      <c r="FU46" s="1"/>
      <c r="FV46" s="790"/>
      <c r="FW46" s="54" t="s">
        <v>169</v>
      </c>
      <c r="FX46" s="60">
        <v>273</v>
      </c>
      <c r="FY46" s="61">
        <v>282</v>
      </c>
      <c r="FZ46" s="61">
        <v>273</v>
      </c>
      <c r="GA46" s="61">
        <v>282</v>
      </c>
      <c r="GB46" s="61">
        <v>282</v>
      </c>
      <c r="GC46" s="61">
        <v>273</v>
      </c>
      <c r="GD46" s="61">
        <v>282</v>
      </c>
      <c r="GE46" s="61">
        <v>273</v>
      </c>
      <c r="GF46" s="61">
        <v>282</v>
      </c>
      <c r="GG46" s="61">
        <v>282</v>
      </c>
      <c r="GH46" s="61">
        <v>255</v>
      </c>
      <c r="GI46" s="62">
        <v>282</v>
      </c>
      <c r="GJ46" s="63"/>
      <c r="GK46" s="1"/>
      <c r="GL46" s="790"/>
      <c r="GM46" s="54" t="s">
        <v>169</v>
      </c>
      <c r="GN46" s="60">
        <v>273</v>
      </c>
      <c r="GO46" s="61">
        <v>282</v>
      </c>
      <c r="GP46" s="61">
        <v>273</v>
      </c>
      <c r="GQ46" s="61">
        <v>282</v>
      </c>
      <c r="GR46" s="61">
        <v>282</v>
      </c>
      <c r="GS46" s="61">
        <v>273</v>
      </c>
      <c r="GT46" s="61">
        <v>282</v>
      </c>
      <c r="GU46" s="61">
        <v>273</v>
      </c>
      <c r="GV46" s="61">
        <v>282</v>
      </c>
      <c r="GW46" s="61">
        <v>282</v>
      </c>
      <c r="GX46" s="61">
        <v>255</v>
      </c>
      <c r="GY46" s="62">
        <v>282</v>
      </c>
      <c r="GZ46" s="63"/>
      <c r="HA46" s="1"/>
      <c r="HB46" s="790"/>
      <c r="HC46" s="54" t="s">
        <v>169</v>
      </c>
      <c r="HD46" s="60">
        <v>273</v>
      </c>
      <c r="HE46" s="61">
        <v>282</v>
      </c>
      <c r="HF46" s="61">
        <v>273</v>
      </c>
      <c r="HG46" s="61">
        <v>282</v>
      </c>
      <c r="HH46" s="61">
        <v>282</v>
      </c>
      <c r="HI46" s="61">
        <v>273</v>
      </c>
      <c r="HJ46" s="61">
        <v>282</v>
      </c>
      <c r="HK46" s="61">
        <v>273</v>
      </c>
      <c r="HL46" s="61">
        <v>282</v>
      </c>
      <c r="HM46" s="61">
        <v>282</v>
      </c>
      <c r="HN46" s="61">
        <v>255</v>
      </c>
      <c r="HO46" s="62">
        <v>282</v>
      </c>
      <c r="HP46" s="63"/>
      <c r="HQ46" s="1"/>
      <c r="HR46" s="790"/>
      <c r="HS46" s="54" t="s">
        <v>169</v>
      </c>
      <c r="HT46" s="60">
        <v>273</v>
      </c>
      <c r="HU46" s="61">
        <v>282</v>
      </c>
      <c r="HV46" s="61">
        <v>273</v>
      </c>
      <c r="HW46" s="61">
        <v>282</v>
      </c>
      <c r="HX46" s="61">
        <v>282</v>
      </c>
      <c r="HY46" s="61">
        <v>273</v>
      </c>
      <c r="HZ46" s="61">
        <v>282</v>
      </c>
      <c r="IA46" s="61">
        <v>273</v>
      </c>
      <c r="IB46" s="61">
        <v>282</v>
      </c>
      <c r="IC46" s="61">
        <v>282</v>
      </c>
      <c r="ID46" s="61">
        <v>255</v>
      </c>
      <c r="IE46" s="62">
        <v>282</v>
      </c>
      <c r="IF46" s="63"/>
      <c r="IG46" s="1"/>
      <c r="IH46" s="790"/>
      <c r="II46" s="54" t="s">
        <v>169</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787" t="s">
        <v>51</v>
      </c>
      <c r="C47" s="51" t="s">
        <v>174</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787"/>
      <c r="S47" s="51" t="s">
        <v>171</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787"/>
      <c r="AI47" s="51" t="s">
        <v>171</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787"/>
      <c r="AY47" s="51" t="s">
        <v>171</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787"/>
      <c r="BO47" s="51" t="s">
        <v>171</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787"/>
      <c r="CE47" s="51" t="s">
        <v>171</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787"/>
      <c r="CU47" s="51" t="s">
        <v>171</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787"/>
      <c r="DK47" s="51" t="s">
        <v>171</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787"/>
      <c r="EA47" s="51" t="s">
        <v>171</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787"/>
      <c r="EQ47" s="51" t="s">
        <v>171</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787"/>
      <c r="FG47" s="51" t="s">
        <v>171</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787"/>
      <c r="FW47" s="51" t="s">
        <v>171</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787"/>
      <c r="GM47" s="51" t="s">
        <v>171</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787"/>
      <c r="HC47" s="51" t="s">
        <v>171</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787"/>
      <c r="HS47" s="51" t="s">
        <v>171</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787"/>
      <c r="II47" s="51" t="s">
        <v>171</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788"/>
      <c r="C48" s="51" t="s">
        <v>182</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788"/>
      <c r="S48" s="80"/>
      <c r="T48" s="81"/>
      <c r="U48" s="81"/>
      <c r="V48" s="81"/>
      <c r="W48" s="81"/>
      <c r="X48" s="81"/>
      <c r="Y48" s="81"/>
      <c r="Z48" s="81"/>
      <c r="AA48" s="81"/>
      <c r="AB48" s="81"/>
      <c r="AC48" s="81"/>
      <c r="AD48" s="81"/>
      <c r="AE48" s="82"/>
      <c r="AF48" s="83"/>
      <c r="AG48" s="1"/>
      <c r="AH48" s="788"/>
      <c r="AI48" s="80"/>
      <c r="AJ48" s="81"/>
      <c r="AK48" s="81"/>
      <c r="AL48" s="81"/>
      <c r="AM48" s="81"/>
      <c r="AN48" s="81"/>
      <c r="AO48" s="81"/>
      <c r="AP48" s="81"/>
      <c r="AQ48" s="81"/>
      <c r="AR48" s="81"/>
      <c r="AS48" s="81"/>
      <c r="AT48" s="81"/>
      <c r="AU48" s="82"/>
      <c r="AV48" s="83"/>
      <c r="AW48" s="1"/>
      <c r="AX48" s="788"/>
      <c r="AY48" s="80"/>
      <c r="AZ48" s="81"/>
      <c r="BA48" s="81"/>
      <c r="BB48" s="81"/>
      <c r="BC48" s="81"/>
      <c r="BD48" s="81"/>
      <c r="BE48" s="81"/>
      <c r="BF48" s="81"/>
      <c r="BG48" s="81"/>
      <c r="BH48" s="81"/>
      <c r="BI48" s="81"/>
      <c r="BJ48" s="81"/>
      <c r="BK48" s="82"/>
      <c r="BL48" s="83"/>
      <c r="BM48" s="1"/>
      <c r="BN48" s="788"/>
      <c r="BO48" s="80"/>
      <c r="BP48" s="81"/>
      <c r="BQ48" s="81"/>
      <c r="BR48" s="81"/>
      <c r="BS48" s="81"/>
      <c r="BT48" s="81"/>
      <c r="BU48" s="81"/>
      <c r="BV48" s="81"/>
      <c r="BW48" s="81"/>
      <c r="BX48" s="81"/>
      <c r="BY48" s="81"/>
      <c r="BZ48" s="81"/>
      <c r="CA48" s="82"/>
      <c r="CB48" s="83"/>
      <c r="CC48" s="1"/>
      <c r="CD48" s="788"/>
      <c r="CE48" s="80"/>
      <c r="CF48" s="81"/>
      <c r="CG48" s="81"/>
      <c r="CH48" s="81"/>
      <c r="CI48" s="81"/>
      <c r="CJ48" s="81"/>
      <c r="CK48" s="81"/>
      <c r="CL48" s="81"/>
      <c r="CM48" s="81"/>
      <c r="CN48" s="81"/>
      <c r="CO48" s="81"/>
      <c r="CP48" s="81"/>
      <c r="CQ48" s="82"/>
      <c r="CR48" s="83"/>
      <c r="CS48" s="1"/>
      <c r="CT48" s="788"/>
      <c r="CU48" s="80"/>
      <c r="CV48" s="81"/>
      <c r="CW48" s="81"/>
      <c r="CX48" s="81"/>
      <c r="CY48" s="81"/>
      <c r="CZ48" s="81"/>
      <c r="DA48" s="81"/>
      <c r="DB48" s="81"/>
      <c r="DC48" s="81"/>
      <c r="DD48" s="81"/>
      <c r="DE48" s="81"/>
      <c r="DF48" s="81"/>
      <c r="DG48" s="82"/>
      <c r="DH48" s="83"/>
      <c r="DI48" s="1"/>
      <c r="DJ48" s="788"/>
      <c r="DK48" s="80"/>
      <c r="DL48" s="81"/>
      <c r="DM48" s="81"/>
      <c r="DN48" s="81"/>
      <c r="DO48" s="81"/>
      <c r="DP48" s="81"/>
      <c r="DQ48" s="81"/>
      <c r="DR48" s="81"/>
      <c r="DS48" s="81"/>
      <c r="DT48" s="81"/>
      <c r="DU48" s="81"/>
      <c r="DV48" s="81"/>
      <c r="DW48" s="82"/>
      <c r="DX48" s="83"/>
      <c r="DY48" s="1"/>
      <c r="DZ48" s="788"/>
      <c r="EA48" s="80"/>
      <c r="EB48" s="81"/>
      <c r="EC48" s="81"/>
      <c r="ED48" s="81"/>
      <c r="EE48" s="81"/>
      <c r="EF48" s="81"/>
      <c r="EG48" s="81"/>
      <c r="EH48" s="81"/>
      <c r="EI48" s="81"/>
      <c r="EJ48" s="81"/>
      <c r="EK48" s="81"/>
      <c r="EL48" s="81"/>
      <c r="EM48" s="82"/>
      <c r="EN48" s="83"/>
      <c r="EO48" s="1"/>
      <c r="EP48" s="788"/>
      <c r="EQ48" s="80"/>
      <c r="ER48" s="81"/>
      <c r="ES48" s="81"/>
      <c r="ET48" s="81"/>
      <c r="EU48" s="81"/>
      <c r="EV48" s="81"/>
      <c r="EW48" s="81"/>
      <c r="EX48" s="81"/>
      <c r="EY48" s="81"/>
      <c r="EZ48" s="81"/>
      <c r="FA48" s="81"/>
      <c r="FB48" s="81"/>
      <c r="FC48" s="82"/>
      <c r="FD48" s="83"/>
      <c r="FE48" s="1"/>
      <c r="FF48" s="788"/>
      <c r="FG48" s="80"/>
      <c r="FH48" s="81"/>
      <c r="FI48" s="81"/>
      <c r="FJ48" s="81"/>
      <c r="FK48" s="81"/>
      <c r="FL48" s="81"/>
      <c r="FM48" s="81"/>
      <c r="FN48" s="81"/>
      <c r="FO48" s="81"/>
      <c r="FP48" s="81"/>
      <c r="FQ48" s="81"/>
      <c r="FR48" s="81"/>
      <c r="FS48" s="82"/>
      <c r="FT48" s="83"/>
      <c r="FU48" s="1"/>
      <c r="FV48" s="788"/>
      <c r="FW48" s="80"/>
      <c r="FX48" s="81"/>
      <c r="FY48" s="81"/>
      <c r="FZ48" s="81"/>
      <c r="GA48" s="81"/>
      <c r="GB48" s="81"/>
      <c r="GC48" s="81"/>
      <c r="GD48" s="81"/>
      <c r="GE48" s="81"/>
      <c r="GF48" s="81"/>
      <c r="GG48" s="81"/>
      <c r="GH48" s="81"/>
      <c r="GI48" s="82"/>
      <c r="GJ48" s="83"/>
      <c r="GK48" s="1"/>
      <c r="GL48" s="788"/>
      <c r="GM48" s="80"/>
      <c r="GN48" s="81"/>
      <c r="GO48" s="81"/>
      <c r="GP48" s="81"/>
      <c r="GQ48" s="81"/>
      <c r="GR48" s="81"/>
      <c r="GS48" s="81"/>
      <c r="GT48" s="81"/>
      <c r="GU48" s="81"/>
      <c r="GV48" s="81"/>
      <c r="GW48" s="81"/>
      <c r="GX48" s="81"/>
      <c r="GY48" s="82"/>
      <c r="GZ48" s="83"/>
      <c r="HA48" s="1"/>
      <c r="HB48" s="788"/>
      <c r="HC48" s="80"/>
      <c r="HD48" s="81"/>
      <c r="HE48" s="81"/>
      <c r="HF48" s="81"/>
      <c r="HG48" s="81"/>
      <c r="HH48" s="81"/>
      <c r="HI48" s="81"/>
      <c r="HJ48" s="81"/>
      <c r="HK48" s="81"/>
      <c r="HL48" s="81"/>
      <c r="HM48" s="81"/>
      <c r="HN48" s="81"/>
      <c r="HO48" s="82"/>
      <c r="HP48" s="83"/>
      <c r="HQ48" s="1"/>
      <c r="HR48" s="788"/>
      <c r="HS48" s="80"/>
      <c r="HT48" s="81"/>
      <c r="HU48" s="81"/>
      <c r="HV48" s="81"/>
      <c r="HW48" s="81"/>
      <c r="HX48" s="81"/>
      <c r="HY48" s="81"/>
      <c r="HZ48" s="81"/>
      <c r="IA48" s="81"/>
      <c r="IB48" s="81"/>
      <c r="IC48" s="81"/>
      <c r="ID48" s="81"/>
      <c r="IE48" s="82"/>
      <c r="IF48" s="83"/>
      <c r="IG48" s="1"/>
      <c r="IH48" s="788"/>
      <c r="II48" s="80"/>
      <c r="IJ48" s="81"/>
      <c r="IK48" s="81"/>
      <c r="IL48" s="81"/>
      <c r="IM48" s="81"/>
      <c r="IN48" s="81"/>
      <c r="IO48" s="81"/>
      <c r="IP48" s="81"/>
      <c r="IQ48" s="81"/>
      <c r="IR48" s="81"/>
      <c r="IS48" s="81"/>
      <c r="IT48" s="81"/>
      <c r="IU48" s="82"/>
      <c r="IV48" s="83"/>
    </row>
    <row r="49" spans="1:256" ht="13.5" thickBot="1">
      <c r="A49" s="1"/>
      <c r="B49" s="789"/>
      <c r="C49" s="64" t="s">
        <v>185</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789"/>
      <c r="S49" s="64" t="s">
        <v>172</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789"/>
      <c r="AI49" s="64" t="s">
        <v>172</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789"/>
      <c r="AY49" s="64" t="s">
        <v>172</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789"/>
      <c r="BO49" s="64" t="s">
        <v>172</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789"/>
      <c r="CE49" s="64" t="s">
        <v>172</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789"/>
      <c r="CU49" s="64" t="s">
        <v>172</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789"/>
      <c r="DK49" s="64" t="s">
        <v>172</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789"/>
      <c r="EA49" s="64" t="s">
        <v>172</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789"/>
      <c r="EQ49" s="64" t="s">
        <v>172</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789"/>
      <c r="FG49" s="64" t="s">
        <v>172</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789"/>
      <c r="FW49" s="64" t="s">
        <v>172</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789"/>
      <c r="GM49" s="64" t="s">
        <v>172</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789"/>
      <c r="HC49" s="64" t="s">
        <v>172</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789"/>
      <c r="HS49" s="64" t="s">
        <v>172</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789"/>
      <c r="II49" s="64" t="s">
        <v>172</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132</v>
      </c>
      <c r="C54" t="s">
        <v>133</v>
      </c>
      <c r="D54" t="s">
        <v>85</v>
      </c>
      <c r="E54">
        <v>17.3218792</v>
      </c>
      <c r="G54" t="s">
        <v>133</v>
      </c>
    </row>
    <row r="55" spans="4:8" ht="12.75">
      <c r="D55" t="s">
        <v>94</v>
      </c>
      <c r="E55" t="s">
        <v>129</v>
      </c>
      <c r="G55">
        <v>0</v>
      </c>
      <c r="H55">
        <f>E56</f>
        <v>1</v>
      </c>
    </row>
    <row r="56" spans="3:8" ht="12.75">
      <c r="C56" t="s">
        <v>127</v>
      </c>
      <c r="D56">
        <v>0</v>
      </c>
      <c r="E56">
        <v>1</v>
      </c>
      <c r="G56">
        <v>12.4</v>
      </c>
      <c r="H56">
        <f aca="true" t="shared" si="2" ref="G56:H58">E56</f>
        <v>1</v>
      </c>
    </row>
    <row r="57" spans="3:8" ht="12.75">
      <c r="C57" t="s">
        <v>124</v>
      </c>
      <c r="D57">
        <v>17.32</v>
      </c>
      <c r="E57">
        <v>0</v>
      </c>
      <c r="G57">
        <f t="shared" si="2"/>
        <v>17.32</v>
      </c>
      <c r="H57">
        <f t="shared" si="2"/>
        <v>0</v>
      </c>
    </row>
    <row r="58" spans="3:8" ht="12.75">
      <c r="C58" t="s">
        <v>125</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276</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277</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278</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134</v>
      </c>
      <c r="G69" t="s">
        <v>135</v>
      </c>
    </row>
    <row r="70" spans="7:8" ht="12.75">
      <c r="G70">
        <v>-4</v>
      </c>
      <c r="H70">
        <v>-3.5</v>
      </c>
    </row>
    <row r="71" spans="4:8" ht="12.75">
      <c r="D71" t="s">
        <v>136</v>
      </c>
      <c r="E71" t="s">
        <v>137</v>
      </c>
      <c r="G71">
        <v>-3.5</v>
      </c>
      <c r="H71">
        <v>-3.5</v>
      </c>
    </row>
    <row r="72" spans="3:8" ht="12.75">
      <c r="C72" t="s">
        <v>125</v>
      </c>
      <c r="D72">
        <v>-3.5</v>
      </c>
      <c r="E72">
        <v>-3.5</v>
      </c>
      <c r="G72">
        <v>3.5</v>
      </c>
      <c r="H72">
        <v>3.5</v>
      </c>
    </row>
    <row r="73" spans="3:8" ht="12.75">
      <c r="C73" t="s">
        <v>123</v>
      </c>
      <c r="D73">
        <v>3.5</v>
      </c>
      <c r="E73">
        <v>3.5</v>
      </c>
      <c r="G73">
        <v>4</v>
      </c>
      <c r="H73">
        <v>3.5</v>
      </c>
    </row>
    <row r="75" ht="12.75">
      <c r="C75" t="s">
        <v>148</v>
      </c>
    </row>
    <row r="77" spans="3:5" ht="12.75">
      <c r="C77" t="s">
        <v>149</v>
      </c>
      <c r="D77" s="34">
        <v>0</v>
      </c>
      <c r="E77">
        <v>1500</v>
      </c>
    </row>
    <row r="78" spans="3:5" ht="12.75">
      <c r="C78" t="s">
        <v>147</v>
      </c>
      <c r="D78" s="85">
        <v>0.05</v>
      </c>
      <c r="E78">
        <v>-3500</v>
      </c>
    </row>
    <row r="79" spans="3:5" ht="12.75">
      <c r="C79" t="s">
        <v>147</v>
      </c>
      <c r="D79" s="34">
        <v>0.75667</v>
      </c>
      <c r="E79">
        <v>-30000</v>
      </c>
    </row>
    <row r="80" spans="3:5" ht="12.75">
      <c r="C80" t="s">
        <v>150</v>
      </c>
      <c r="D80" s="34">
        <v>1</v>
      </c>
      <c r="E80">
        <v>-30000</v>
      </c>
    </row>
    <row r="82" ht="12.75">
      <c r="C82" t="s">
        <v>226</v>
      </c>
    </row>
    <row r="84" spans="3:5" ht="12.75">
      <c r="C84" t="s">
        <v>149</v>
      </c>
      <c r="D84" s="36">
        <v>0</v>
      </c>
      <c r="E84">
        <v>4000</v>
      </c>
    </row>
    <row r="85" spans="3:5" ht="12.75">
      <c r="C85" t="s">
        <v>147</v>
      </c>
      <c r="D85" s="36">
        <v>1.5</v>
      </c>
      <c r="E85">
        <v>4000</v>
      </c>
    </row>
    <row r="86" spans="3:5" ht="12.75">
      <c r="C86" t="s">
        <v>147</v>
      </c>
      <c r="D86" s="36">
        <v>2.8</v>
      </c>
      <c r="E86">
        <v>0</v>
      </c>
    </row>
    <row r="87" spans="3:5" ht="12.75">
      <c r="C87" t="s">
        <v>150</v>
      </c>
      <c r="D87" s="36">
        <v>15</v>
      </c>
      <c r="E87">
        <v>-30000</v>
      </c>
    </row>
    <row r="88" spans="3:5" ht="12.75">
      <c r="C88" t="s">
        <v>150</v>
      </c>
      <c r="D88" s="36">
        <v>30</v>
      </c>
      <c r="E88">
        <v>-30000</v>
      </c>
    </row>
    <row r="91" spans="4:8" ht="13.5" thickBot="1">
      <c r="D91" t="s">
        <v>148</v>
      </c>
      <c r="H91" t="s">
        <v>151</v>
      </c>
    </row>
    <row r="92" spans="4:11" s="122" customFormat="1" ht="39" thickBot="1">
      <c r="D92" s="123" t="s">
        <v>22</v>
      </c>
      <c r="E92" s="124" t="s">
        <v>262</v>
      </c>
      <c r="F92" s="124" t="s">
        <v>157</v>
      </c>
      <c r="G92" s="124" t="s">
        <v>263</v>
      </c>
      <c r="H92" s="124" t="s">
        <v>191</v>
      </c>
      <c r="I92" s="124" t="s">
        <v>192</v>
      </c>
      <c r="J92" s="124" t="s">
        <v>225</v>
      </c>
      <c r="K92" s="125" t="s">
        <v>193</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130</v>
      </c>
      <c r="P108" t="s">
        <v>131</v>
      </c>
      <c r="Q108">
        <v>142.43817470296418</v>
      </c>
    </row>
    <row r="109" spans="3:17" ht="12.75">
      <c r="C109" t="s">
        <v>150</v>
      </c>
      <c r="D109">
        <v>-25</v>
      </c>
      <c r="E109">
        <v>-4</v>
      </c>
      <c r="Q109">
        <v>0.5</v>
      </c>
    </row>
    <row r="110" spans="3:5" ht="12.75">
      <c r="C110" t="s">
        <v>125</v>
      </c>
      <c r="D110">
        <v>-20</v>
      </c>
      <c r="E110">
        <v>-4</v>
      </c>
    </row>
    <row r="111" spans="3:5" ht="12.75">
      <c r="C111" t="s">
        <v>124</v>
      </c>
      <c r="D111">
        <v>0</v>
      </c>
      <c r="E111">
        <v>0</v>
      </c>
    </row>
    <row r="112" spans="3:5" ht="12.75">
      <c r="C112" t="s">
        <v>123</v>
      </c>
      <c r="D112">
        <v>20</v>
      </c>
      <c r="E112">
        <v>5</v>
      </c>
    </row>
    <row r="113" spans="3:5" ht="12.75">
      <c r="C113" t="s">
        <v>123</v>
      </c>
      <c r="D113">
        <v>25</v>
      </c>
      <c r="E113">
        <v>5</v>
      </c>
    </row>
    <row r="115" spans="3:15" ht="12.75">
      <c r="C115" s="91" t="s">
        <v>160</v>
      </c>
      <c r="D115" s="92">
        <f>F115/3</f>
        <v>11.299247653169061</v>
      </c>
      <c r="E115" s="92">
        <f>D115+F115/3</f>
        <v>22.598495306338123</v>
      </c>
      <c r="F115" s="92">
        <f>('[1]Shrinkage'!$E$37-'Graph Data'!F116)</f>
        <v>33.897742959507184</v>
      </c>
      <c r="G115" s="92">
        <f>F115+(I115-F115)/3</f>
        <v>39.504933480202396</v>
      </c>
      <c r="H115" s="92">
        <f>I115-(I115-F115)/3</f>
        <v>45.112124000897616</v>
      </c>
      <c r="I115" s="92">
        <f>('[1]Shrinkage'!$H$37-'Graph Data'!I116)</f>
        <v>50.71931452159283</v>
      </c>
      <c r="J115" s="92">
        <f>I115+(L115-I115)/3</f>
        <v>64.06580974133928</v>
      </c>
      <c r="K115" s="92">
        <f>L115-(L115-I115)/3</f>
        <v>77.41230496108572</v>
      </c>
      <c r="L115" s="92">
        <f>('[1]Shrinkage'!$K$37-'Graph Data'!L116)</f>
        <v>90.75880018083217</v>
      </c>
      <c r="M115" s="92">
        <f>L115+(O115-L115)/3</f>
        <v>106.52674418199253</v>
      </c>
      <c r="N115" s="92">
        <f>O115-(O115-L115)/3</f>
        <v>122.29468818315287</v>
      </c>
      <c r="O115" s="92">
        <f>('[1]Shrinkage'!$N$37-'Graph Data'!O116)</f>
        <v>138.06263218431323</v>
      </c>
    </row>
    <row r="116" spans="3:15" ht="12.75">
      <c r="C116" t="s">
        <v>186</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187</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144</v>
      </c>
      <c r="D121" t="s">
        <v>85</v>
      </c>
      <c r="E121">
        <v>0</v>
      </c>
      <c r="G121" t="s">
        <v>122</v>
      </c>
    </row>
    <row r="122" spans="3:5" ht="12.75">
      <c r="C122">
        <v>0.001145</v>
      </c>
      <c r="D122" t="s">
        <v>141</v>
      </c>
      <c r="E122" t="s">
        <v>142</v>
      </c>
    </row>
    <row r="123" spans="3:8" ht="12.75">
      <c r="C123" t="s">
        <v>123</v>
      </c>
      <c r="D123">
        <v>0</v>
      </c>
      <c r="E123">
        <f>(D124*C122)</f>
        <v>3.271265</v>
      </c>
      <c r="G123">
        <v>0</v>
      </c>
      <c r="H123">
        <f>(E123)</f>
        <v>3.271265</v>
      </c>
    </row>
    <row r="124" spans="3:8" ht="12.75">
      <c r="C124" t="s">
        <v>139</v>
      </c>
      <c r="D124">
        <v>2857</v>
      </c>
      <c r="E124">
        <v>0</v>
      </c>
      <c r="G124">
        <v>2857</v>
      </c>
      <c r="H124">
        <v>0</v>
      </c>
    </row>
    <row r="125" spans="3:8" ht="12.75">
      <c r="C125" t="s">
        <v>140</v>
      </c>
      <c r="D125">
        <v>3157</v>
      </c>
      <c r="E125">
        <v>0</v>
      </c>
      <c r="G125">
        <v>3157</v>
      </c>
      <c r="H125">
        <v>0</v>
      </c>
    </row>
    <row r="126" spans="3:8" ht="12.75">
      <c r="C126" t="s">
        <v>125</v>
      </c>
      <c r="D126">
        <v>6000</v>
      </c>
      <c r="E126">
        <f>(D125-D126)*C122</f>
        <v>-3.255235</v>
      </c>
      <c r="G126">
        <v>6000</v>
      </c>
      <c r="H126">
        <f>(E126)</f>
        <v>-3.255235</v>
      </c>
    </row>
    <row r="127" ht="13.5" thickBot="1"/>
    <row r="128" spans="2:9" ht="34.5" thickBot="1">
      <c r="B128" s="11" t="s">
        <v>41</v>
      </c>
      <c r="C128" s="14" t="s">
        <v>84</v>
      </c>
      <c r="D128" s="14" t="s">
        <v>96</v>
      </c>
      <c r="E128" s="22" t="s">
        <v>23</v>
      </c>
      <c r="F128" s="14" t="s">
        <v>230</v>
      </c>
      <c r="G128" s="14" t="s">
        <v>179</v>
      </c>
      <c r="H128" s="14" t="s">
        <v>231</v>
      </c>
      <c r="I128" s="29" t="s">
        <v>95</v>
      </c>
    </row>
    <row r="129" spans="2:12" ht="12.75">
      <c r="B129" s="10">
        <v>40634</v>
      </c>
      <c r="C129" s="46">
        <f>('Greenhouse Gas Emissions'!C62)</f>
        <v>145.078292017228</v>
      </c>
      <c r="D129" s="3">
        <f>C129</f>
        <v>145.078292017228</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185.10958170000004</v>
      </c>
      <c r="D130" s="3">
        <f>D129+C130</f>
        <v>330.18787371722806</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216.2280028096</v>
      </c>
      <c r="D131" s="3">
        <f aca="true" t="shared" si="8" ref="D131:D140">D130+C131</f>
        <v>546.415876526828</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288.223919286</v>
      </c>
      <c r="D132" s="3">
        <f t="shared" si="8"/>
        <v>834.639795812828</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178.54401789831002</v>
      </c>
      <c r="D133" s="3">
        <f t="shared" si="8"/>
        <v>1013.183813711138</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230.28100817757914</v>
      </c>
      <c r="D134" s="3">
        <f t="shared" si="8"/>
        <v>1243.464821888717</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225.43571221</v>
      </c>
      <c r="D135" s="3">
        <f t="shared" si="8"/>
        <v>1468.9005340987171</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273.94637959999994</v>
      </c>
      <c r="D136" s="3">
        <f t="shared" si="8"/>
        <v>1742.8469136987171</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360.17</v>
      </c>
      <c r="D137" s="3">
        <f t="shared" si="8"/>
        <v>2103.016913698717</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0</v>
      </c>
      <c r="D138" s="3">
        <f t="shared" si="8"/>
        <v>2103.016913698717</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0</v>
      </c>
      <c r="D139" s="3">
        <f t="shared" si="8"/>
        <v>2103.016913698717</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0</v>
      </c>
      <c r="D140" s="3">
        <f t="shared" si="8"/>
        <v>2103.016913698717</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83</v>
      </c>
      <c r="C141" s="15">
        <f>SUM(C129:C140)</f>
        <v>2103.016913698717</v>
      </c>
      <c r="D141" s="15"/>
      <c r="E141" s="24">
        <f>D124-500000/1145</f>
        <v>2420.3187772925767</v>
      </c>
      <c r="F141" s="15">
        <f>D124-E141</f>
        <v>436.68122270742333</v>
      </c>
      <c r="G141" s="15">
        <f>D125-F141-E141</f>
        <v>300</v>
      </c>
      <c r="H141" s="15">
        <f>F141</f>
        <v>436.68122270742333</v>
      </c>
      <c r="I141" s="26"/>
    </row>
    <row r="145" spans="1:16" ht="12.75">
      <c r="A145">
        <v>8</v>
      </c>
      <c r="B145" t="s">
        <v>143</v>
      </c>
      <c r="D145" t="s">
        <v>85</v>
      </c>
      <c r="E145">
        <v>0</v>
      </c>
      <c r="G145" t="s">
        <v>122</v>
      </c>
      <c r="P145" t="s">
        <v>131</v>
      </c>
    </row>
    <row r="146" spans="5:17" ht="12.75">
      <c r="E146" t="s">
        <v>126</v>
      </c>
      <c r="G146">
        <v>0</v>
      </c>
      <c r="H146">
        <f>E149</f>
        <v>5</v>
      </c>
      <c r="P146">
        <v>2862</v>
      </c>
      <c r="Q146">
        <v>0</v>
      </c>
    </row>
    <row r="147" spans="3:8" ht="12.75">
      <c r="C147" t="s">
        <v>125</v>
      </c>
      <c r="E147">
        <v>0</v>
      </c>
      <c r="G147">
        <f>D149</f>
        <v>1790.4183454779254</v>
      </c>
      <c r="H147">
        <f>E149</f>
        <v>5</v>
      </c>
    </row>
    <row r="148" spans="3:8" ht="12.75">
      <c r="C148" t="s">
        <v>124</v>
      </c>
      <c r="D148">
        <v>2862</v>
      </c>
      <c r="E148">
        <v>0</v>
      </c>
      <c r="G148">
        <f>D148</f>
        <v>2862</v>
      </c>
      <c r="H148">
        <f>E148</f>
        <v>0</v>
      </c>
    </row>
    <row r="149" spans="3:8" ht="12.75">
      <c r="C149" t="s">
        <v>123</v>
      </c>
      <c r="D149">
        <f>D148-(E149/0.004666)</f>
        <v>1790.4183454779254</v>
      </c>
      <c r="E149">
        <v>5</v>
      </c>
      <c r="G149">
        <v>4000</v>
      </c>
      <c r="H149">
        <f>E148</f>
        <v>0</v>
      </c>
    </row>
    <row r="150" ht="13.5" thickBot="1"/>
    <row r="151" spans="2:11" ht="34.5" thickBot="1">
      <c r="B151" s="110" t="s">
        <v>41</v>
      </c>
      <c r="C151" s="126" t="s">
        <v>163</v>
      </c>
      <c r="D151" s="126" t="s">
        <v>180</v>
      </c>
      <c r="E151" s="126" t="s">
        <v>164</v>
      </c>
      <c r="F151" s="126" t="s">
        <v>186</v>
      </c>
      <c r="G151" s="126" t="s">
        <v>18</v>
      </c>
      <c r="H151" s="126" t="s">
        <v>19</v>
      </c>
      <c r="I151" s="111" t="s">
        <v>95</v>
      </c>
      <c r="J151" s="126"/>
      <c r="K151" s="112" t="s">
        <v>221</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83</v>
      </c>
      <c r="C164" s="48">
        <f>SUM(C152:C163)</f>
        <v>7693.030151</v>
      </c>
      <c r="D164" s="48"/>
      <c r="E164" s="48">
        <f>SUM(E152:E163)</f>
        <v>2862</v>
      </c>
      <c r="F164" s="48"/>
      <c r="G164" s="101"/>
      <c r="H164" s="101"/>
      <c r="I164" s="102">
        <v>365</v>
      </c>
      <c r="J164" s="103"/>
      <c r="K164" s="104"/>
    </row>
  </sheetData>
  <mergeCells count="32">
    <mergeCell ref="B44:B46"/>
    <mergeCell ref="R44:R46"/>
    <mergeCell ref="AH44:AH46"/>
    <mergeCell ref="AX44:AX46"/>
    <mergeCell ref="BN44:BN46"/>
    <mergeCell ref="CD44:CD46"/>
    <mergeCell ref="CT44:CT46"/>
    <mergeCell ref="DJ44:DJ46"/>
    <mergeCell ref="DZ44:DZ46"/>
    <mergeCell ref="EP44:EP46"/>
    <mergeCell ref="FF44:FF46"/>
    <mergeCell ref="FV44:FV46"/>
    <mergeCell ref="GL44:GL46"/>
    <mergeCell ref="HB44:HB46"/>
    <mergeCell ref="HR44:HR46"/>
    <mergeCell ref="IH44:IH46"/>
    <mergeCell ref="R47:R49"/>
    <mergeCell ref="AH47:AH49"/>
    <mergeCell ref="AX47:AX49"/>
    <mergeCell ref="B47:B49"/>
    <mergeCell ref="BN47:BN49"/>
    <mergeCell ref="CD47:CD49"/>
    <mergeCell ref="CT47:CT49"/>
    <mergeCell ref="DJ47:DJ49"/>
    <mergeCell ref="DZ47:DZ49"/>
    <mergeCell ref="EP47:EP49"/>
    <mergeCell ref="FF47:FF49"/>
    <mergeCell ref="FV47:FV49"/>
    <mergeCell ref="GL47:GL49"/>
    <mergeCell ref="HB47:HB49"/>
    <mergeCell ref="HR47:HR49"/>
    <mergeCell ref="IH47:IH49"/>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1">
      <selection activeCell="A2" sqref="A2"/>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256</v>
      </c>
      <c r="H1" s="161"/>
      <c r="I1" s="161"/>
      <c r="J1" s="161"/>
      <c r="K1" s="161"/>
      <c r="L1" s="161"/>
      <c r="M1" s="161"/>
      <c r="N1" s="161"/>
      <c r="O1" s="161"/>
      <c r="P1" s="161"/>
      <c r="Q1" s="161"/>
    </row>
    <row r="2" spans="2:17" s="163" customFormat="1" ht="20.25">
      <c r="B2" s="162" t="s">
        <v>20</v>
      </c>
      <c r="C2" s="634"/>
      <c r="D2" s="634"/>
      <c r="E2" s="634"/>
      <c r="F2" s="634"/>
      <c r="G2" s="161"/>
      <c r="H2" s="161"/>
      <c r="I2" s="656" t="s">
        <v>290</v>
      </c>
      <c r="J2" s="656"/>
      <c r="K2" s="656"/>
      <c r="L2" s="656"/>
      <c r="M2" s="656"/>
      <c r="N2" s="656"/>
      <c r="O2" s="656"/>
      <c r="P2" s="656"/>
      <c r="Q2" s="656"/>
    </row>
    <row r="3" ht="6.75" customHeight="1"/>
    <row r="4" spans="2:12" ht="15">
      <c r="B4" s="165" t="s">
        <v>145</v>
      </c>
      <c r="L4" s="165" t="s">
        <v>138</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59" t="s">
        <v>294</v>
      </c>
      <c r="C23" s="659"/>
      <c r="D23" s="659"/>
      <c r="E23" s="659"/>
      <c r="F23" s="659"/>
      <c r="G23" s="659"/>
      <c r="H23" s="659"/>
      <c r="I23" s="659"/>
      <c r="J23" s="659"/>
      <c r="K23" s="167"/>
      <c r="L23" s="658" t="s">
        <v>292</v>
      </c>
      <c r="M23" s="658"/>
      <c r="N23" s="658"/>
      <c r="O23" s="658"/>
      <c r="P23" s="658"/>
      <c r="Q23" s="658"/>
      <c r="R23" s="658"/>
      <c r="S23" s="658"/>
      <c r="T23" s="658"/>
    </row>
    <row r="24" spans="2:20" ht="12.75" customHeight="1">
      <c r="B24" s="659"/>
      <c r="C24" s="659"/>
      <c r="D24" s="659"/>
      <c r="E24" s="659"/>
      <c r="F24" s="659"/>
      <c r="G24" s="659"/>
      <c r="H24" s="659"/>
      <c r="I24" s="659"/>
      <c r="J24" s="659"/>
      <c r="K24" s="167"/>
      <c r="L24" s="658"/>
      <c r="M24" s="658"/>
      <c r="N24" s="658"/>
      <c r="O24" s="658"/>
      <c r="P24" s="658"/>
      <c r="Q24" s="658"/>
      <c r="R24" s="658"/>
      <c r="S24" s="658"/>
      <c r="T24" s="658"/>
    </row>
    <row r="25" spans="2:20" ht="6.75" customHeight="1">
      <c r="B25" s="659"/>
      <c r="C25" s="659"/>
      <c r="D25" s="659"/>
      <c r="E25" s="659"/>
      <c r="F25" s="659"/>
      <c r="G25" s="659"/>
      <c r="H25" s="659"/>
      <c r="I25" s="659"/>
      <c r="J25" s="659"/>
      <c r="K25" s="167"/>
      <c r="L25" s="658"/>
      <c r="M25" s="658"/>
      <c r="N25" s="658"/>
      <c r="O25" s="658"/>
      <c r="P25" s="658"/>
      <c r="Q25" s="658"/>
      <c r="R25" s="658"/>
      <c r="S25" s="658"/>
      <c r="T25" s="658"/>
    </row>
    <row r="26" spans="2:20" ht="39.75" customHeight="1">
      <c r="B26" s="660"/>
      <c r="C26" s="660"/>
      <c r="D26" s="660"/>
      <c r="E26" s="660"/>
      <c r="F26" s="660"/>
      <c r="G26" s="660"/>
      <c r="H26" s="660"/>
      <c r="I26" s="660"/>
      <c r="J26" s="660"/>
      <c r="K26" s="168"/>
      <c r="L26" s="658"/>
      <c r="M26" s="658"/>
      <c r="N26" s="658"/>
      <c r="O26" s="658"/>
      <c r="P26" s="658"/>
      <c r="Q26" s="658"/>
      <c r="R26" s="658"/>
      <c r="S26" s="658"/>
      <c r="T26" s="658"/>
    </row>
    <row r="27" spans="12:20" ht="5.25" customHeight="1">
      <c r="L27" s="166"/>
      <c r="M27" s="166"/>
      <c r="N27" s="166"/>
      <c r="O27" s="166"/>
      <c r="P27" s="166"/>
      <c r="Q27" s="166"/>
      <c r="R27" s="166"/>
      <c r="S27" s="166"/>
      <c r="T27" s="166"/>
    </row>
    <row r="28" spans="2:12" ht="15">
      <c r="B28" s="165" t="s">
        <v>132</v>
      </c>
      <c r="L28" s="165" t="s">
        <v>130</v>
      </c>
    </row>
    <row r="29" ht="14.25" customHeight="1"/>
    <row r="30" ht="14.25" customHeight="1"/>
    <row r="31" ht="14.25" customHeight="1"/>
    <row r="46" ht="5.25" customHeight="1"/>
    <row r="47" spans="2:20" ht="6.75" customHeight="1">
      <c r="B47" s="657" t="s">
        <v>0</v>
      </c>
      <c r="C47" s="657"/>
      <c r="D47" s="657"/>
      <c r="E47" s="657"/>
      <c r="F47" s="657"/>
      <c r="G47" s="657"/>
      <c r="H47" s="657"/>
      <c r="I47" s="657"/>
      <c r="J47" s="657"/>
      <c r="K47" s="169"/>
      <c r="L47" s="658" t="s">
        <v>14</v>
      </c>
      <c r="M47" s="658"/>
      <c r="N47" s="658"/>
      <c r="O47" s="658"/>
      <c r="P47" s="658"/>
      <c r="Q47" s="658"/>
      <c r="R47" s="658"/>
      <c r="S47" s="658"/>
      <c r="T47" s="658"/>
    </row>
    <row r="48" spans="2:20" ht="12.75" customHeight="1">
      <c r="B48" s="657"/>
      <c r="C48" s="657"/>
      <c r="D48" s="657"/>
      <c r="E48" s="657"/>
      <c r="F48" s="657"/>
      <c r="G48" s="657"/>
      <c r="H48" s="657"/>
      <c r="I48" s="657"/>
      <c r="J48" s="657"/>
      <c r="K48" s="169"/>
      <c r="L48" s="658"/>
      <c r="M48" s="658"/>
      <c r="N48" s="658"/>
      <c r="O48" s="658"/>
      <c r="P48" s="658"/>
      <c r="Q48" s="658"/>
      <c r="R48" s="658"/>
      <c r="S48" s="658"/>
      <c r="T48" s="658"/>
    </row>
    <row r="49" spans="2:20" ht="8.25" customHeight="1">
      <c r="B49" s="657"/>
      <c r="C49" s="657"/>
      <c r="D49" s="657"/>
      <c r="E49" s="657"/>
      <c r="F49" s="657"/>
      <c r="G49" s="657"/>
      <c r="H49" s="657"/>
      <c r="I49" s="657"/>
      <c r="J49" s="657"/>
      <c r="K49" s="169"/>
      <c r="L49" s="658"/>
      <c r="M49" s="658"/>
      <c r="N49" s="658"/>
      <c r="O49" s="658"/>
      <c r="P49" s="658"/>
      <c r="Q49" s="658"/>
      <c r="R49" s="658"/>
      <c r="S49" s="658"/>
      <c r="T49" s="658"/>
    </row>
    <row r="50" spans="2:20" ht="13.5" customHeight="1">
      <c r="B50" s="657"/>
      <c r="C50" s="657"/>
      <c r="D50" s="657"/>
      <c r="E50" s="657"/>
      <c r="F50" s="657"/>
      <c r="G50" s="657"/>
      <c r="H50" s="657"/>
      <c r="I50" s="657"/>
      <c r="J50" s="657"/>
      <c r="K50" s="169"/>
      <c r="L50" s="658"/>
      <c r="M50" s="658"/>
      <c r="N50" s="658"/>
      <c r="O50" s="658"/>
      <c r="P50" s="658"/>
      <c r="Q50" s="658"/>
      <c r="R50" s="658"/>
      <c r="S50" s="658"/>
      <c r="T50" s="658"/>
    </row>
    <row r="51" spans="2:20" ht="5.25" customHeight="1">
      <c r="B51" s="657"/>
      <c r="C51" s="657"/>
      <c r="D51" s="657"/>
      <c r="E51" s="657"/>
      <c r="F51" s="657"/>
      <c r="G51" s="657"/>
      <c r="H51" s="657"/>
      <c r="I51" s="657"/>
      <c r="J51" s="657"/>
      <c r="K51" s="169"/>
      <c r="L51" s="658"/>
      <c r="M51" s="658"/>
      <c r="N51" s="658"/>
      <c r="O51" s="658"/>
      <c r="P51" s="658"/>
      <c r="Q51" s="658"/>
      <c r="R51" s="658"/>
      <c r="S51" s="658"/>
      <c r="T51" s="658"/>
    </row>
    <row r="52" spans="2:20" ht="5.25" customHeight="1">
      <c r="B52" s="657"/>
      <c r="C52" s="657"/>
      <c r="D52" s="657"/>
      <c r="E52" s="657"/>
      <c r="F52" s="657"/>
      <c r="G52" s="657"/>
      <c r="H52" s="657"/>
      <c r="I52" s="657"/>
      <c r="J52" s="657"/>
      <c r="K52" s="169"/>
      <c r="L52" s="658"/>
      <c r="M52" s="658"/>
      <c r="N52" s="658"/>
      <c r="O52" s="658"/>
      <c r="P52" s="658"/>
      <c r="Q52" s="658"/>
      <c r="R52" s="658"/>
      <c r="S52" s="658"/>
      <c r="T52" s="658"/>
    </row>
    <row r="53" ht="5.25" customHeight="1"/>
    <row r="54" ht="15">
      <c r="B54" s="165" t="s">
        <v>219</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58" t="s">
        <v>9</v>
      </c>
      <c r="C74" s="658"/>
      <c r="D74" s="658"/>
      <c r="E74" s="658"/>
      <c r="F74" s="658"/>
      <c r="G74" s="658"/>
      <c r="H74" s="658"/>
      <c r="I74" s="658"/>
      <c r="J74" s="658"/>
      <c r="K74" s="169"/>
      <c r="L74" s="658" t="s">
        <v>10</v>
      </c>
      <c r="M74" s="658"/>
      <c r="N74" s="658"/>
      <c r="O74" s="658"/>
      <c r="P74" s="658"/>
      <c r="Q74" s="658"/>
      <c r="R74" s="658"/>
      <c r="S74" s="658"/>
      <c r="T74" s="658"/>
    </row>
    <row r="75" spans="2:20" ht="7.5" customHeight="1">
      <c r="B75" s="658"/>
      <c r="C75" s="658"/>
      <c r="D75" s="658"/>
      <c r="E75" s="658"/>
      <c r="F75" s="658"/>
      <c r="G75" s="658"/>
      <c r="H75" s="658"/>
      <c r="I75" s="658"/>
      <c r="J75" s="658"/>
      <c r="K75" s="169"/>
      <c r="L75" s="658"/>
      <c r="M75" s="658"/>
      <c r="N75" s="658"/>
      <c r="O75" s="658"/>
      <c r="P75" s="658"/>
      <c r="Q75" s="658"/>
      <c r="R75" s="658"/>
      <c r="S75" s="658"/>
      <c r="T75" s="658"/>
    </row>
    <row r="76" spans="2:20" ht="5.25" customHeight="1">
      <c r="B76" s="658"/>
      <c r="C76" s="658"/>
      <c r="D76" s="658"/>
      <c r="E76" s="658"/>
      <c r="F76" s="658"/>
      <c r="G76" s="658"/>
      <c r="H76" s="658"/>
      <c r="I76" s="658"/>
      <c r="J76" s="658"/>
      <c r="K76" s="169"/>
      <c r="L76" s="658"/>
      <c r="M76" s="658"/>
      <c r="N76" s="658"/>
      <c r="O76" s="658"/>
      <c r="P76" s="658"/>
      <c r="Q76" s="658"/>
      <c r="R76" s="658"/>
      <c r="S76" s="658"/>
      <c r="T76" s="658"/>
    </row>
    <row r="77" spans="2:20" ht="6.75" customHeight="1">
      <c r="B77" s="658"/>
      <c r="C77" s="658"/>
      <c r="D77" s="658"/>
      <c r="E77" s="658"/>
      <c r="F77" s="658"/>
      <c r="G77" s="658"/>
      <c r="H77" s="658"/>
      <c r="I77" s="658"/>
      <c r="J77" s="658"/>
      <c r="K77" s="169"/>
      <c r="L77" s="658"/>
      <c r="M77" s="658"/>
      <c r="N77" s="658"/>
      <c r="O77" s="658"/>
      <c r="P77" s="658"/>
      <c r="Q77" s="658"/>
      <c r="R77" s="658"/>
      <c r="S77" s="658"/>
      <c r="T77" s="658"/>
    </row>
    <row r="78" spans="2:20" ht="0.75" customHeight="1" hidden="1">
      <c r="B78" s="658"/>
      <c r="C78" s="658"/>
      <c r="D78" s="658"/>
      <c r="E78" s="658"/>
      <c r="F78" s="658"/>
      <c r="G78" s="658"/>
      <c r="H78" s="658"/>
      <c r="I78" s="658"/>
      <c r="J78" s="658"/>
      <c r="K78" s="169"/>
      <c r="L78" s="658"/>
      <c r="M78" s="658"/>
      <c r="N78" s="658"/>
      <c r="O78" s="658"/>
      <c r="P78" s="658"/>
      <c r="Q78" s="658"/>
      <c r="R78" s="658"/>
      <c r="S78" s="658"/>
      <c r="T78" s="658"/>
    </row>
    <row r="79" spans="2:20" ht="12.75" hidden="1">
      <c r="B79" s="658"/>
      <c r="C79" s="658"/>
      <c r="D79" s="658"/>
      <c r="E79" s="658"/>
      <c r="F79" s="658"/>
      <c r="G79" s="658"/>
      <c r="H79" s="658"/>
      <c r="I79" s="658"/>
      <c r="J79" s="658"/>
      <c r="K79" s="169"/>
      <c r="L79" s="658"/>
      <c r="M79" s="658"/>
      <c r="N79" s="658"/>
      <c r="O79" s="658"/>
      <c r="P79" s="658"/>
      <c r="Q79" s="658"/>
      <c r="R79" s="658"/>
      <c r="S79" s="658"/>
      <c r="T79" s="658"/>
    </row>
    <row r="80" spans="2:20" ht="3.75" customHeight="1" hidden="1">
      <c r="B80" s="658"/>
      <c r="C80" s="658"/>
      <c r="D80" s="658"/>
      <c r="E80" s="658"/>
      <c r="F80" s="658"/>
      <c r="G80" s="658"/>
      <c r="H80" s="658"/>
      <c r="I80" s="658"/>
      <c r="J80" s="658"/>
      <c r="K80" s="169"/>
      <c r="L80" s="658"/>
      <c r="M80" s="658"/>
      <c r="N80" s="658"/>
      <c r="O80" s="658"/>
      <c r="P80" s="658"/>
      <c r="Q80" s="658"/>
      <c r="R80" s="658"/>
      <c r="S80" s="658"/>
      <c r="T80" s="658"/>
    </row>
    <row r="81" spans="2:20" ht="1.5" customHeight="1">
      <c r="B81" s="658"/>
      <c r="C81" s="658"/>
      <c r="D81" s="658"/>
      <c r="E81" s="658"/>
      <c r="F81" s="658"/>
      <c r="G81" s="658"/>
      <c r="H81" s="658"/>
      <c r="I81" s="658"/>
      <c r="J81" s="658"/>
      <c r="K81" s="169"/>
      <c r="L81" s="658"/>
      <c r="M81" s="658"/>
      <c r="N81" s="658"/>
      <c r="O81" s="658"/>
      <c r="P81" s="658"/>
      <c r="Q81" s="658"/>
      <c r="R81" s="658"/>
      <c r="S81" s="658"/>
      <c r="T81" s="658"/>
    </row>
    <row r="82" spans="2:20" ht="7.5" customHeight="1">
      <c r="B82" s="658"/>
      <c r="C82" s="658"/>
      <c r="D82" s="658"/>
      <c r="E82" s="658"/>
      <c r="F82" s="658"/>
      <c r="G82" s="658"/>
      <c r="H82" s="658"/>
      <c r="I82" s="658"/>
      <c r="J82" s="658"/>
      <c r="K82" s="169"/>
      <c r="L82" s="658"/>
      <c r="M82" s="658"/>
      <c r="N82" s="658"/>
      <c r="O82" s="658"/>
      <c r="P82" s="658"/>
      <c r="Q82" s="658"/>
      <c r="R82" s="658"/>
      <c r="S82" s="658"/>
      <c r="T82" s="658"/>
    </row>
    <row r="83" spans="2:20" ht="43.5" customHeight="1">
      <c r="B83" s="658"/>
      <c r="C83" s="658"/>
      <c r="D83" s="658"/>
      <c r="E83" s="658"/>
      <c r="F83" s="658"/>
      <c r="G83" s="658"/>
      <c r="H83" s="658"/>
      <c r="I83" s="658"/>
      <c r="J83" s="658"/>
      <c r="K83" s="169"/>
      <c r="L83" s="658"/>
      <c r="M83" s="658"/>
      <c r="N83" s="658"/>
      <c r="O83" s="658"/>
      <c r="P83" s="658"/>
      <c r="Q83" s="658"/>
      <c r="R83" s="658"/>
      <c r="S83" s="658"/>
      <c r="T83" s="658"/>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284</v>
      </c>
      <c r="K85" s="158"/>
      <c r="L85" s="165" t="s">
        <v>220</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61" t="s">
        <v>6</v>
      </c>
      <c r="C105" s="662"/>
      <c r="D105" s="662"/>
      <c r="E105" s="662"/>
      <c r="F105" s="662"/>
      <c r="G105" s="662"/>
      <c r="H105" s="662"/>
      <c r="I105" s="662"/>
      <c r="J105" s="663"/>
      <c r="K105" s="173"/>
      <c r="L105" s="661" t="s">
        <v>12</v>
      </c>
      <c r="M105" s="662"/>
      <c r="N105" s="662"/>
      <c r="O105" s="662"/>
      <c r="P105" s="662"/>
      <c r="Q105" s="662"/>
      <c r="R105" s="662"/>
      <c r="S105" s="662"/>
      <c r="T105" s="663"/>
    </row>
    <row r="106" spans="2:20" ht="0.75" customHeight="1">
      <c r="B106" s="664"/>
      <c r="C106" s="665"/>
      <c r="D106" s="665"/>
      <c r="E106" s="665"/>
      <c r="F106" s="665"/>
      <c r="G106" s="665"/>
      <c r="H106" s="665"/>
      <c r="I106" s="665"/>
      <c r="J106" s="666"/>
      <c r="K106" s="173"/>
      <c r="L106" s="664"/>
      <c r="M106" s="665"/>
      <c r="N106" s="665"/>
      <c r="O106" s="665"/>
      <c r="P106" s="665"/>
      <c r="Q106" s="665"/>
      <c r="R106" s="665"/>
      <c r="S106" s="665"/>
      <c r="T106" s="666"/>
    </row>
    <row r="107" spans="2:20" ht="12.75" customHeight="1" hidden="1">
      <c r="B107" s="664"/>
      <c r="C107" s="665"/>
      <c r="D107" s="665"/>
      <c r="E107" s="665"/>
      <c r="F107" s="665"/>
      <c r="G107" s="665"/>
      <c r="H107" s="665"/>
      <c r="I107" s="665"/>
      <c r="J107" s="666"/>
      <c r="K107" s="173"/>
      <c r="L107" s="664"/>
      <c r="M107" s="665"/>
      <c r="N107" s="665"/>
      <c r="O107" s="665"/>
      <c r="P107" s="665"/>
      <c r="Q107" s="665"/>
      <c r="R107" s="665"/>
      <c r="S107" s="665"/>
      <c r="T107" s="666"/>
    </row>
    <row r="108" spans="2:20" ht="14.25" customHeight="1" hidden="1">
      <c r="B108" s="664"/>
      <c r="C108" s="665"/>
      <c r="D108" s="665"/>
      <c r="E108" s="665"/>
      <c r="F108" s="665"/>
      <c r="G108" s="665"/>
      <c r="H108" s="665"/>
      <c r="I108" s="665"/>
      <c r="J108" s="666"/>
      <c r="K108" s="173"/>
      <c r="L108" s="664"/>
      <c r="M108" s="665"/>
      <c r="N108" s="665"/>
      <c r="O108" s="665"/>
      <c r="P108" s="665"/>
      <c r="Q108" s="665"/>
      <c r="R108" s="665"/>
      <c r="S108" s="665"/>
      <c r="T108" s="666"/>
    </row>
    <row r="109" spans="2:20" ht="12.75" customHeight="1" hidden="1">
      <c r="B109" s="664"/>
      <c r="C109" s="665"/>
      <c r="D109" s="665"/>
      <c r="E109" s="665"/>
      <c r="F109" s="665"/>
      <c r="G109" s="665"/>
      <c r="H109" s="665"/>
      <c r="I109" s="665"/>
      <c r="J109" s="666"/>
      <c r="K109" s="173"/>
      <c r="L109" s="664"/>
      <c r="M109" s="665"/>
      <c r="N109" s="665"/>
      <c r="O109" s="665"/>
      <c r="P109" s="665"/>
      <c r="Q109" s="665"/>
      <c r="R109" s="665"/>
      <c r="S109" s="665"/>
      <c r="T109" s="666"/>
    </row>
    <row r="110" spans="2:20" ht="12.75" customHeight="1">
      <c r="B110" s="664"/>
      <c r="C110" s="665"/>
      <c r="D110" s="665"/>
      <c r="E110" s="665"/>
      <c r="F110" s="665"/>
      <c r="G110" s="665"/>
      <c r="H110" s="665"/>
      <c r="I110" s="665"/>
      <c r="J110" s="666"/>
      <c r="K110" s="173"/>
      <c r="L110" s="664"/>
      <c r="M110" s="665"/>
      <c r="N110" s="665"/>
      <c r="O110" s="665"/>
      <c r="P110" s="665"/>
      <c r="Q110" s="665"/>
      <c r="R110" s="665"/>
      <c r="S110" s="665"/>
      <c r="T110" s="666"/>
    </row>
    <row r="111" spans="2:20" ht="12.75" customHeight="1" hidden="1">
      <c r="B111" s="664"/>
      <c r="C111" s="665"/>
      <c r="D111" s="665"/>
      <c r="E111" s="665"/>
      <c r="F111" s="665"/>
      <c r="G111" s="665"/>
      <c r="H111" s="665"/>
      <c r="I111" s="665"/>
      <c r="J111" s="666"/>
      <c r="K111" s="173"/>
      <c r="L111" s="664"/>
      <c r="M111" s="665"/>
      <c r="N111" s="665"/>
      <c r="O111" s="665"/>
      <c r="P111" s="665"/>
      <c r="Q111" s="665"/>
      <c r="R111" s="665"/>
      <c r="S111" s="665"/>
      <c r="T111" s="666"/>
    </row>
    <row r="112" spans="2:20" ht="11.25" customHeight="1">
      <c r="B112" s="664"/>
      <c r="C112" s="665"/>
      <c r="D112" s="665"/>
      <c r="E112" s="665"/>
      <c r="F112" s="665"/>
      <c r="G112" s="665"/>
      <c r="H112" s="665"/>
      <c r="I112" s="665"/>
      <c r="J112" s="666"/>
      <c r="K112" s="173"/>
      <c r="L112" s="664"/>
      <c r="M112" s="665"/>
      <c r="N112" s="665"/>
      <c r="O112" s="665"/>
      <c r="P112" s="665"/>
      <c r="Q112" s="665"/>
      <c r="R112" s="665"/>
      <c r="S112" s="665"/>
      <c r="T112" s="666"/>
    </row>
    <row r="113" spans="2:20" ht="12.75" customHeight="1" hidden="1">
      <c r="B113" s="664"/>
      <c r="C113" s="665"/>
      <c r="D113" s="665"/>
      <c r="E113" s="665"/>
      <c r="F113" s="665"/>
      <c r="G113" s="665"/>
      <c r="H113" s="665"/>
      <c r="I113" s="665"/>
      <c r="J113" s="666"/>
      <c r="K113" s="173"/>
      <c r="L113" s="664"/>
      <c r="M113" s="665"/>
      <c r="N113" s="665"/>
      <c r="O113" s="665"/>
      <c r="P113" s="665"/>
      <c r="Q113" s="665"/>
      <c r="R113" s="665"/>
      <c r="S113" s="665"/>
      <c r="T113" s="666"/>
    </row>
    <row r="114" spans="2:20" ht="36.75" customHeight="1">
      <c r="B114" s="667"/>
      <c r="C114" s="668"/>
      <c r="D114" s="668"/>
      <c r="E114" s="668"/>
      <c r="F114" s="668"/>
      <c r="G114" s="668"/>
      <c r="H114" s="668"/>
      <c r="I114" s="668"/>
      <c r="J114" s="669"/>
      <c r="K114" s="173"/>
      <c r="L114" s="667"/>
      <c r="M114" s="668"/>
      <c r="N114" s="668"/>
      <c r="O114" s="668"/>
      <c r="P114" s="668"/>
      <c r="Q114" s="668"/>
      <c r="R114" s="668"/>
      <c r="S114" s="668"/>
      <c r="T114" s="669"/>
    </row>
    <row r="115" ht="5.25" customHeight="1"/>
    <row r="116" ht="15">
      <c r="B116" s="165" t="s">
        <v>134</v>
      </c>
    </row>
    <row r="117" ht="6.75" customHeight="1"/>
    <row r="130" ht="14.25" customHeight="1"/>
    <row r="131" ht="14.25" customHeight="1"/>
    <row r="132" ht="14.25" customHeight="1"/>
    <row r="133" ht="14.25" customHeight="1"/>
    <row r="134" ht="14.25" customHeight="1"/>
    <row r="135" ht="5.25" customHeight="1"/>
    <row r="136" spans="2:20" ht="1.5" customHeight="1">
      <c r="B136" s="658" t="s">
        <v>3</v>
      </c>
      <c r="C136" s="658"/>
      <c r="D136" s="658"/>
      <c r="E136" s="658"/>
      <c r="F136" s="658"/>
      <c r="G136" s="658"/>
      <c r="H136" s="658"/>
      <c r="I136" s="658"/>
      <c r="J136" s="658"/>
      <c r="K136" s="169"/>
      <c r="L136" s="661" t="s">
        <v>4</v>
      </c>
      <c r="M136" s="662"/>
      <c r="N136" s="662"/>
      <c r="O136" s="662"/>
      <c r="P136" s="662"/>
      <c r="Q136" s="662"/>
      <c r="R136" s="662"/>
      <c r="S136" s="662"/>
      <c r="T136" s="663"/>
    </row>
    <row r="137" spans="2:20" ht="12.75" hidden="1">
      <c r="B137" s="658"/>
      <c r="C137" s="658"/>
      <c r="D137" s="658"/>
      <c r="E137" s="658"/>
      <c r="F137" s="658"/>
      <c r="G137" s="658"/>
      <c r="H137" s="658"/>
      <c r="I137" s="658"/>
      <c r="J137" s="658"/>
      <c r="K137" s="169"/>
      <c r="L137" s="664"/>
      <c r="M137" s="665"/>
      <c r="N137" s="665"/>
      <c r="O137" s="665"/>
      <c r="P137" s="665"/>
      <c r="Q137" s="665"/>
      <c r="R137" s="665"/>
      <c r="S137" s="665"/>
      <c r="T137" s="666"/>
    </row>
    <row r="138" spans="2:20" ht="6.75" customHeight="1" hidden="1">
      <c r="B138" s="658"/>
      <c r="C138" s="658"/>
      <c r="D138" s="658"/>
      <c r="E138" s="658"/>
      <c r="F138" s="658"/>
      <c r="G138" s="658"/>
      <c r="H138" s="658"/>
      <c r="I138" s="658"/>
      <c r="J138" s="658"/>
      <c r="K138" s="169"/>
      <c r="L138" s="664"/>
      <c r="M138" s="665"/>
      <c r="N138" s="665"/>
      <c r="O138" s="665"/>
      <c r="P138" s="665"/>
      <c r="Q138" s="665"/>
      <c r="R138" s="665"/>
      <c r="S138" s="665"/>
      <c r="T138" s="666"/>
    </row>
    <row r="139" spans="2:20" ht="3" customHeight="1">
      <c r="B139" s="658"/>
      <c r="C139" s="658"/>
      <c r="D139" s="658"/>
      <c r="E139" s="658"/>
      <c r="F139" s="658"/>
      <c r="G139" s="658"/>
      <c r="H139" s="658"/>
      <c r="I139" s="658"/>
      <c r="J139" s="658"/>
      <c r="K139" s="169"/>
      <c r="L139" s="664"/>
      <c r="M139" s="665"/>
      <c r="N139" s="665"/>
      <c r="O139" s="665"/>
      <c r="P139" s="665"/>
      <c r="Q139" s="665"/>
      <c r="R139" s="665"/>
      <c r="S139" s="665"/>
      <c r="T139" s="666"/>
    </row>
    <row r="140" spans="2:20" ht="0.75" customHeight="1">
      <c r="B140" s="658"/>
      <c r="C140" s="658"/>
      <c r="D140" s="658"/>
      <c r="E140" s="658"/>
      <c r="F140" s="658"/>
      <c r="G140" s="658"/>
      <c r="H140" s="658"/>
      <c r="I140" s="658"/>
      <c r="J140" s="658"/>
      <c r="K140" s="169"/>
      <c r="L140" s="664"/>
      <c r="M140" s="665"/>
      <c r="N140" s="665"/>
      <c r="O140" s="665"/>
      <c r="P140" s="665"/>
      <c r="Q140" s="665"/>
      <c r="R140" s="665"/>
      <c r="S140" s="665"/>
      <c r="T140" s="666"/>
    </row>
    <row r="141" spans="2:20" ht="5.25" customHeight="1">
      <c r="B141" s="658"/>
      <c r="C141" s="658"/>
      <c r="D141" s="658"/>
      <c r="E141" s="658"/>
      <c r="F141" s="658"/>
      <c r="G141" s="658"/>
      <c r="H141" s="658"/>
      <c r="I141" s="658"/>
      <c r="J141" s="658"/>
      <c r="K141" s="169"/>
      <c r="L141" s="664"/>
      <c r="M141" s="665"/>
      <c r="N141" s="665"/>
      <c r="O141" s="665"/>
      <c r="P141" s="665"/>
      <c r="Q141" s="665"/>
      <c r="R141" s="665"/>
      <c r="S141" s="665"/>
      <c r="T141" s="666"/>
    </row>
    <row r="142" spans="2:20" ht="9" customHeight="1">
      <c r="B142" s="658"/>
      <c r="C142" s="658"/>
      <c r="D142" s="658"/>
      <c r="E142" s="658"/>
      <c r="F142" s="658"/>
      <c r="G142" s="658"/>
      <c r="H142" s="658"/>
      <c r="I142" s="658"/>
      <c r="J142" s="658"/>
      <c r="K142" s="169"/>
      <c r="L142" s="664"/>
      <c r="M142" s="665"/>
      <c r="N142" s="665"/>
      <c r="O142" s="665"/>
      <c r="P142" s="665"/>
      <c r="Q142" s="665"/>
      <c r="R142" s="665"/>
      <c r="S142" s="665"/>
      <c r="T142" s="666"/>
    </row>
    <row r="143" spans="2:20" ht="0.75" customHeight="1">
      <c r="B143" s="658"/>
      <c r="C143" s="658"/>
      <c r="D143" s="658"/>
      <c r="E143" s="658"/>
      <c r="F143" s="658"/>
      <c r="G143" s="658"/>
      <c r="H143" s="658"/>
      <c r="I143" s="658"/>
      <c r="J143" s="658"/>
      <c r="K143" s="169"/>
      <c r="L143" s="664"/>
      <c r="M143" s="665"/>
      <c r="N143" s="665"/>
      <c r="O143" s="665"/>
      <c r="P143" s="665"/>
      <c r="Q143" s="665"/>
      <c r="R143" s="665"/>
      <c r="S143" s="665"/>
      <c r="T143" s="666"/>
    </row>
    <row r="144" spans="2:20" ht="51" customHeight="1">
      <c r="B144" s="658"/>
      <c r="C144" s="658"/>
      <c r="D144" s="658"/>
      <c r="E144" s="658"/>
      <c r="F144" s="658"/>
      <c r="G144" s="658"/>
      <c r="H144" s="658"/>
      <c r="I144" s="658"/>
      <c r="J144" s="658"/>
      <c r="K144" s="169"/>
      <c r="L144" s="667"/>
      <c r="M144" s="668"/>
      <c r="N144" s="668"/>
      <c r="O144" s="668"/>
      <c r="P144" s="668"/>
      <c r="Q144" s="668"/>
      <c r="R144" s="668"/>
      <c r="S144" s="668"/>
      <c r="T144" s="669"/>
    </row>
    <row r="145" ht="6.75" customHeight="1"/>
    <row r="158" ht="14.25" customHeight="1"/>
    <row r="159" ht="14.25" customHeight="1"/>
    <row r="160" ht="14.25" customHeight="1"/>
    <row r="161" ht="14.25" customHeight="1"/>
    <row r="162" ht="14.25" customHeight="1"/>
  </sheetData>
  <mergeCells count="11">
    <mergeCell ref="B136:J144"/>
    <mergeCell ref="B74:J83"/>
    <mergeCell ref="L74:T83"/>
    <mergeCell ref="B105:J114"/>
    <mergeCell ref="L105:T114"/>
    <mergeCell ref="L136:T144"/>
    <mergeCell ref="I2:Q2"/>
    <mergeCell ref="B47:J52"/>
    <mergeCell ref="L23:T26"/>
    <mergeCell ref="L47:T52"/>
    <mergeCell ref="B23:J26"/>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3"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C1">
      <selection activeCell="C52" sqref="C52"/>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275</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154</v>
      </c>
      <c r="D3" s="207"/>
      <c r="E3" s="183"/>
      <c r="F3" s="183"/>
      <c r="G3" s="208"/>
      <c r="H3" s="208"/>
      <c r="I3" s="208"/>
      <c r="J3" s="208"/>
      <c r="K3" s="208"/>
      <c r="L3" s="208"/>
      <c r="M3" s="208"/>
      <c r="N3" s="199"/>
      <c r="O3" s="199"/>
      <c r="P3" s="208"/>
      <c r="Q3" s="228"/>
    </row>
    <row r="4" spans="3:17" s="135" customFormat="1" ht="48.75" customHeight="1" thickBot="1">
      <c r="C4" s="229" t="s">
        <v>70</v>
      </c>
      <c r="D4" s="647" t="s">
        <v>176</v>
      </c>
      <c r="E4" s="647"/>
      <c r="F4" s="647"/>
      <c r="G4" s="647"/>
      <c r="H4" s="647"/>
      <c r="I4" s="647"/>
      <c r="J4" s="647"/>
      <c r="K4" s="647"/>
      <c r="L4" s="647"/>
      <c r="M4" s="647"/>
      <c r="N4" s="648"/>
      <c r="O4" s="648"/>
      <c r="P4" s="648"/>
      <c r="Q4" s="649"/>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38" t="s">
        <v>159</v>
      </c>
      <c r="M6" s="676"/>
      <c r="N6" s="676"/>
      <c r="O6" s="676"/>
      <c r="P6" s="676"/>
      <c r="Q6" s="677"/>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78" t="s">
        <v>197</v>
      </c>
      <c r="M8" s="679"/>
      <c r="N8" s="679"/>
      <c r="O8" s="679"/>
      <c r="P8" s="679"/>
      <c r="Q8" s="680"/>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81" t="s">
        <v>257</v>
      </c>
      <c r="M10" s="682"/>
      <c r="N10" s="682"/>
      <c r="O10" s="682"/>
      <c r="P10" s="682"/>
      <c r="Q10" s="683"/>
    </row>
    <row r="11" spans="3:17" s="135" customFormat="1" ht="15" customHeight="1">
      <c r="C11" s="232"/>
      <c r="D11" s="136"/>
      <c r="E11" s="137"/>
      <c r="F11" s="137"/>
      <c r="G11" s="137"/>
      <c r="H11" s="137"/>
      <c r="I11" s="137"/>
      <c r="J11" s="137"/>
      <c r="K11" s="137"/>
      <c r="L11" s="681"/>
      <c r="M11" s="682"/>
      <c r="N11" s="682"/>
      <c r="O11" s="682"/>
      <c r="P11" s="682"/>
      <c r="Q11" s="683"/>
    </row>
    <row r="12" spans="3:17" s="135" customFormat="1" ht="15">
      <c r="C12" s="232"/>
      <c r="D12" s="136"/>
      <c r="E12" s="137"/>
      <c r="F12" s="137"/>
      <c r="G12" s="137"/>
      <c r="H12" s="137"/>
      <c r="I12" s="137"/>
      <c r="J12" s="137"/>
      <c r="K12" s="137"/>
      <c r="L12" s="681"/>
      <c r="M12" s="682"/>
      <c r="N12" s="682"/>
      <c r="O12" s="682"/>
      <c r="P12" s="682"/>
      <c r="Q12" s="683"/>
    </row>
    <row r="13" spans="3:17" s="135" customFormat="1" ht="15">
      <c r="C13" s="232"/>
      <c r="D13" s="136"/>
      <c r="E13" s="137"/>
      <c r="F13" s="137"/>
      <c r="G13" s="137"/>
      <c r="H13" s="137"/>
      <c r="I13" s="137"/>
      <c r="J13" s="137"/>
      <c r="K13" s="137"/>
      <c r="L13" s="681"/>
      <c r="M13" s="682"/>
      <c r="N13" s="682"/>
      <c r="O13" s="682"/>
      <c r="P13" s="682"/>
      <c r="Q13" s="683"/>
    </row>
    <row r="14" spans="3:17" s="135" customFormat="1" ht="15" customHeight="1">
      <c r="C14" s="232"/>
      <c r="D14" s="136"/>
      <c r="E14" s="137"/>
      <c r="F14" s="137"/>
      <c r="G14" s="137"/>
      <c r="H14" s="137"/>
      <c r="I14" s="137"/>
      <c r="J14" s="137"/>
      <c r="K14" s="137"/>
      <c r="L14" s="681"/>
      <c r="M14" s="682"/>
      <c r="N14" s="682"/>
      <c r="O14" s="682"/>
      <c r="P14" s="682"/>
      <c r="Q14" s="683"/>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152</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409.5">
      <c r="C49" s="650" t="s">
        <v>295</v>
      </c>
      <c r="D49" s="651"/>
      <c r="E49" s="651"/>
      <c r="F49" s="651"/>
      <c r="G49" s="651"/>
      <c r="H49" s="651"/>
      <c r="I49" s="651"/>
      <c r="J49" s="651"/>
      <c r="K49" s="651"/>
      <c r="L49" s="651"/>
      <c r="M49" s="651"/>
      <c r="N49" s="651"/>
      <c r="O49" s="651"/>
      <c r="P49" s="651"/>
      <c r="Q49" s="639"/>
    </row>
    <row r="50" spans="3:17" s="135" customFormat="1" ht="15">
      <c r="C50" s="640"/>
      <c r="D50" s="641"/>
      <c r="E50" s="641"/>
      <c r="F50" s="641"/>
      <c r="G50" s="641"/>
      <c r="H50" s="641"/>
      <c r="I50" s="641"/>
      <c r="J50" s="641"/>
      <c r="K50" s="641"/>
      <c r="L50" s="641"/>
      <c r="M50" s="641"/>
      <c r="N50" s="641"/>
      <c r="O50" s="641"/>
      <c r="P50" s="641"/>
      <c r="Q50" s="642"/>
    </row>
    <row r="51" spans="3:17" s="135" customFormat="1" ht="15">
      <c r="C51" s="643"/>
      <c r="D51" s="644"/>
      <c r="E51" s="644"/>
      <c r="F51" s="644"/>
      <c r="G51" s="644"/>
      <c r="H51" s="644"/>
      <c r="I51" s="644"/>
      <c r="J51" s="644"/>
      <c r="K51" s="644"/>
      <c r="L51" s="644"/>
      <c r="M51" s="644"/>
      <c r="N51" s="644"/>
      <c r="O51" s="644"/>
      <c r="P51" s="644"/>
      <c r="Q51" s="645"/>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153</v>
      </c>
      <c r="D53" s="209"/>
      <c r="E53" s="209"/>
      <c r="F53" s="209"/>
      <c r="G53" s="209"/>
      <c r="H53" s="209"/>
      <c r="I53" s="209"/>
      <c r="J53" s="209"/>
      <c r="K53" s="209"/>
      <c r="L53" s="209"/>
      <c r="M53" s="209"/>
      <c r="N53" s="209"/>
      <c r="O53" s="209"/>
      <c r="P53" s="209"/>
      <c r="Q53" s="238"/>
    </row>
    <row r="54" spans="2:17" ht="30">
      <c r="B54" s="250"/>
      <c r="C54" s="239" t="s">
        <v>198</v>
      </c>
      <c r="D54" s="194" t="s">
        <v>76</v>
      </c>
      <c r="E54" s="195" t="s">
        <v>199</v>
      </c>
      <c r="F54" s="194" t="s">
        <v>47</v>
      </c>
      <c r="G54" s="195" t="s">
        <v>200</v>
      </c>
      <c r="H54" s="194" t="s">
        <v>47</v>
      </c>
      <c r="I54" s="195" t="s">
        <v>201</v>
      </c>
      <c r="J54" s="194" t="s">
        <v>47</v>
      </c>
      <c r="K54" s="195" t="s">
        <v>202</v>
      </c>
      <c r="L54" s="194" t="s">
        <v>47</v>
      </c>
      <c r="M54" s="195" t="s">
        <v>203</v>
      </c>
      <c r="N54" s="194" t="s">
        <v>47</v>
      </c>
      <c r="O54" s="195" t="s">
        <v>204</v>
      </c>
      <c r="P54" s="196" t="s">
        <v>47</v>
      </c>
      <c r="Q54" s="240" t="s">
        <v>205</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77</v>
      </c>
      <c r="D56" s="674" t="s">
        <v>78</v>
      </c>
      <c r="E56" s="675"/>
      <c r="F56" s="674" t="s">
        <v>79</v>
      </c>
      <c r="G56" s="675"/>
      <c r="H56" s="674" t="s">
        <v>177</v>
      </c>
      <c r="I56" s="675"/>
      <c r="J56" s="674" t="s">
        <v>81</v>
      </c>
      <c r="K56" s="675"/>
      <c r="L56" s="674" t="s">
        <v>178</v>
      </c>
      <c r="M56" s="675"/>
      <c r="N56" s="674" t="s">
        <v>80</v>
      </c>
      <c r="O56" s="675"/>
      <c r="P56" s="674" t="s">
        <v>286</v>
      </c>
      <c r="Q56" s="652"/>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53" t="s">
        <v>46</v>
      </c>
      <c r="Q58" s="654"/>
    </row>
    <row r="59" spans="2:17" ht="15">
      <c r="B59" s="209"/>
      <c r="C59" s="257" t="str">
        <f>C54</f>
        <v>EnCOBBIPt</v>
      </c>
      <c r="D59" s="184">
        <f>SUM(D61:D67)</f>
        <v>-422426</v>
      </c>
      <c r="E59" s="184">
        <f>SUM(E61:E67)</f>
        <v>-856046</v>
      </c>
      <c r="F59" s="184">
        <f>SUM(F61:F67)</f>
        <v>-28662</v>
      </c>
      <c r="G59" s="184">
        <v>-40671.36</v>
      </c>
      <c r="H59" s="184">
        <v>-21604.93</v>
      </c>
      <c r="I59" s="184">
        <v>-21642.01</v>
      </c>
      <c r="J59" s="184">
        <v>396922.43966400134</v>
      </c>
      <c r="K59" s="184">
        <v>411856.2399999981</v>
      </c>
      <c r="L59" s="184">
        <v>404257.809999998</v>
      </c>
      <c r="M59" s="184"/>
      <c r="N59" s="184"/>
      <c r="O59" s="184"/>
      <c r="P59" s="655">
        <f>SUM(D59:O59)</f>
        <v>-178015.81033600256</v>
      </c>
      <c r="Q59" s="646"/>
    </row>
    <row r="60" spans="2:17" ht="28.5">
      <c r="B60" s="209"/>
      <c r="C60" s="258" t="s">
        <v>98</v>
      </c>
      <c r="D60" s="185">
        <f>D59</f>
        <v>-422426</v>
      </c>
      <c r="E60" s="185">
        <f>D60+E59</f>
        <v>-1278472</v>
      </c>
      <c r="F60" s="185">
        <f>E60+F59</f>
        <v>-1307134</v>
      </c>
      <c r="G60" s="185">
        <v>-1347804.6361</v>
      </c>
      <c r="H60" s="185">
        <v>-1369409.5661</v>
      </c>
      <c r="I60" s="185">
        <v>-1391051.5761</v>
      </c>
      <c r="J60" s="185">
        <f aca="true" t="shared" si="0" ref="J60:O60">IF(J59="","",I60+J59)</f>
        <v>-994129.1364359986</v>
      </c>
      <c r="K60" s="185">
        <f t="shared" si="0"/>
        <v>-582272.8964360005</v>
      </c>
      <c r="L60" s="185">
        <f t="shared" si="0"/>
        <v>-178015.08643600246</v>
      </c>
      <c r="M60" s="185">
        <f t="shared" si="0"/>
      </c>
      <c r="N60" s="185">
        <f t="shared" si="0"/>
      </c>
      <c r="O60" s="185">
        <f t="shared" si="0"/>
      </c>
      <c r="P60" s="259"/>
      <c r="Q60" s="260"/>
    </row>
    <row r="61" spans="2:17" ht="15">
      <c r="B61" s="209"/>
      <c r="C61" s="261" t="str">
        <f>E54</f>
        <v>EnCOBBCt</v>
      </c>
      <c r="D61" s="186">
        <v>0</v>
      </c>
      <c r="E61" s="186">
        <v>0</v>
      </c>
      <c r="F61" s="187">
        <v>0</v>
      </c>
      <c r="G61" s="210">
        <v>0</v>
      </c>
      <c r="H61" s="210">
        <v>0</v>
      </c>
      <c r="I61" s="210">
        <v>0</v>
      </c>
      <c r="J61" s="635">
        <v>508399.9796640013</v>
      </c>
      <c r="K61" s="635">
        <v>491999.99999999814</v>
      </c>
      <c r="L61" s="635">
        <v>508399.999999998</v>
      </c>
      <c r="M61" s="182"/>
      <c r="N61" s="182"/>
      <c r="O61" s="182"/>
      <c r="P61" s="672">
        <f aca="true" t="shared" si="1" ref="P61:P67">SUM(D61:O61)</f>
        <v>1508799.9796639974</v>
      </c>
      <c r="Q61" s="673"/>
    </row>
    <row r="62" spans="2:17" ht="15">
      <c r="B62" s="209"/>
      <c r="C62" s="261" t="str">
        <f>G54</f>
        <v>AOEnCRDt</v>
      </c>
      <c r="D62" s="187">
        <v>-7697</v>
      </c>
      <c r="E62" s="187">
        <v>-6003</v>
      </c>
      <c r="F62" s="187">
        <v>-5931</v>
      </c>
      <c r="G62" s="210">
        <v>-7817.59</v>
      </c>
      <c r="H62" s="210">
        <v>-7792.38999999999</v>
      </c>
      <c r="I62" s="210">
        <v>-4966.7</v>
      </c>
      <c r="J62" s="182">
        <v>-4809.39</v>
      </c>
      <c r="K62" s="182">
        <v>-5642.7</v>
      </c>
      <c r="L62" s="182">
        <v>-2987.9</v>
      </c>
      <c r="M62" s="182"/>
      <c r="N62" s="182"/>
      <c r="O62" s="182"/>
      <c r="P62" s="672">
        <f t="shared" si="1"/>
        <v>-53647.669999999984</v>
      </c>
      <c r="Q62" s="673"/>
    </row>
    <row r="63" spans="2:17" ht="15">
      <c r="B63" s="209"/>
      <c r="C63" s="261" t="str">
        <f>I54</f>
        <v>REVICt</v>
      </c>
      <c r="D63" s="187">
        <v>-14146</v>
      </c>
      <c r="E63" s="187">
        <v>-14867</v>
      </c>
      <c r="F63" s="187">
        <v>-7794</v>
      </c>
      <c r="G63" s="210">
        <v>-10812.8</v>
      </c>
      <c r="H63" s="210">
        <v>-13052.7</v>
      </c>
      <c r="I63" s="210">
        <v>-15133.5</v>
      </c>
      <c r="J63" s="182">
        <v>-19375</v>
      </c>
      <c r="K63" s="182">
        <v>-17863.2</v>
      </c>
      <c r="L63" s="182">
        <v>-21286.78</v>
      </c>
      <c r="M63" s="182"/>
      <c r="N63" s="182"/>
      <c r="O63" s="182"/>
      <c r="P63" s="672">
        <f t="shared" si="1"/>
        <v>-134330.97999999998</v>
      </c>
      <c r="Q63" s="673"/>
    </row>
    <row r="64" spans="2:17" ht="28.5">
      <c r="B64" s="209"/>
      <c r="C64" s="261" t="str">
        <f>K54</f>
        <v>(ANOEnCRt - EnCNOIRt)</v>
      </c>
      <c r="D64" s="187">
        <v>0</v>
      </c>
      <c r="E64" s="187">
        <v>0</v>
      </c>
      <c r="F64" s="187">
        <v>0</v>
      </c>
      <c r="G64" s="210">
        <v>0</v>
      </c>
      <c r="H64" s="210">
        <v>0</v>
      </c>
      <c r="I64" s="210">
        <v>0</v>
      </c>
      <c r="J64" s="188">
        <v>-55973.6</v>
      </c>
      <c r="K64" s="188">
        <v>-54168</v>
      </c>
      <c r="L64" s="188">
        <v>-55973.6</v>
      </c>
      <c r="M64" s="188"/>
      <c r="N64" s="188"/>
      <c r="O64" s="188"/>
      <c r="P64" s="672">
        <f t="shared" si="1"/>
        <v>-166115.2</v>
      </c>
      <c r="Q64" s="673"/>
    </row>
    <row r="65" spans="2:17" ht="15">
      <c r="B65" s="209"/>
      <c r="C65" s="261" t="str">
        <f>M54</f>
        <v>RCORt</v>
      </c>
      <c r="D65" s="187">
        <v>-10738</v>
      </c>
      <c r="E65" s="187">
        <v>-35510</v>
      </c>
      <c r="F65" s="187">
        <v>-14937</v>
      </c>
      <c r="G65" s="210">
        <v>-22040.97</v>
      </c>
      <c r="H65" s="210">
        <v>-759.84</v>
      </c>
      <c r="I65" s="210">
        <v>-1541.81</v>
      </c>
      <c r="J65" s="182">
        <v>-31319.55</v>
      </c>
      <c r="K65" s="182">
        <v>-2469.86</v>
      </c>
      <c r="L65" s="182">
        <v>-23893.91</v>
      </c>
      <c r="M65" s="182"/>
      <c r="N65" s="182"/>
      <c r="O65" s="182"/>
      <c r="P65" s="672">
        <f t="shared" si="1"/>
        <v>-143210.94</v>
      </c>
      <c r="Q65" s="673"/>
    </row>
    <row r="66" spans="2:17" ht="15">
      <c r="B66" s="209"/>
      <c r="C66" s="262" t="str">
        <f>O54</f>
        <v>RLOCt</v>
      </c>
      <c r="D66" s="189">
        <v>-389845</v>
      </c>
      <c r="E66" s="189">
        <v>-799666</v>
      </c>
      <c r="F66" s="180">
        <v>0</v>
      </c>
      <c r="G66" s="181">
        <v>0</v>
      </c>
      <c r="H66" s="181">
        <v>0</v>
      </c>
      <c r="I66" s="181">
        <v>0</v>
      </c>
      <c r="J66" s="182">
        <v>0</v>
      </c>
      <c r="K66" s="190">
        <v>0</v>
      </c>
      <c r="L66" s="182">
        <v>0</v>
      </c>
      <c r="M66" s="182"/>
      <c r="N66" s="182"/>
      <c r="O66" s="182"/>
      <c r="P66" s="672">
        <f t="shared" si="1"/>
        <v>-1189511</v>
      </c>
      <c r="Q66" s="673"/>
    </row>
    <row r="67" spans="2:17" ht="15.75" thickBot="1">
      <c r="B67" s="209"/>
      <c r="C67" s="263" t="str">
        <f>Q54</f>
        <v>RADDt</v>
      </c>
      <c r="D67" s="191">
        <v>0</v>
      </c>
      <c r="E67" s="191">
        <v>0</v>
      </c>
      <c r="F67" s="191">
        <v>0</v>
      </c>
      <c r="G67" s="192">
        <v>0</v>
      </c>
      <c r="H67" s="192">
        <v>0</v>
      </c>
      <c r="I67" s="192">
        <v>0</v>
      </c>
      <c r="J67" s="193">
        <v>0</v>
      </c>
      <c r="K67" s="193">
        <v>0</v>
      </c>
      <c r="L67" s="193">
        <v>0</v>
      </c>
      <c r="M67" s="193"/>
      <c r="N67" s="193"/>
      <c r="O67" s="193"/>
      <c r="P67" s="670">
        <f t="shared" si="1"/>
        <v>0</v>
      </c>
      <c r="Q67" s="671"/>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24</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D4:Q4"/>
    <mergeCell ref="C49:Q51"/>
    <mergeCell ref="L6:Q6"/>
    <mergeCell ref="N56:O56"/>
    <mergeCell ref="D56:E56"/>
    <mergeCell ref="F56:G56"/>
    <mergeCell ref="L8:Q8"/>
    <mergeCell ref="L10:Q14"/>
    <mergeCell ref="L56:M56"/>
    <mergeCell ref="J56:K56"/>
    <mergeCell ref="H56:I56"/>
    <mergeCell ref="P62:Q62"/>
    <mergeCell ref="P56:Q56"/>
    <mergeCell ref="P58:Q58"/>
    <mergeCell ref="P61:Q61"/>
    <mergeCell ref="P59:Q59"/>
    <mergeCell ref="P67:Q67"/>
    <mergeCell ref="P63:Q63"/>
    <mergeCell ref="P64:Q64"/>
    <mergeCell ref="P65:Q65"/>
    <mergeCell ref="P66:Q6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8"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13">
      <selection activeCell="K71" sqref="K71"/>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74</v>
      </c>
      <c r="C1" s="297"/>
      <c r="D1" s="297"/>
      <c r="E1" s="297"/>
      <c r="F1" s="297"/>
      <c r="G1" s="297"/>
      <c r="H1" s="297"/>
      <c r="I1" s="297"/>
      <c r="J1" s="297"/>
      <c r="K1" s="684"/>
    </row>
    <row r="2" spans="2:11" ht="11.25">
      <c r="B2" s="245"/>
      <c r="C2" s="212"/>
      <c r="D2" s="212"/>
      <c r="E2" s="212"/>
      <c r="F2" s="212"/>
      <c r="G2" s="212"/>
      <c r="H2" s="212"/>
      <c r="I2" s="212"/>
      <c r="J2" s="212"/>
      <c r="K2" s="685"/>
    </row>
    <row r="3" spans="2:11" ht="11.25">
      <c r="B3" s="245"/>
      <c r="C3" s="212"/>
      <c r="D3" s="212"/>
      <c r="E3" s="212"/>
      <c r="F3" s="212"/>
      <c r="G3" s="212"/>
      <c r="H3" s="212"/>
      <c r="I3" s="212"/>
      <c r="J3" s="212"/>
      <c r="K3" s="246"/>
    </row>
    <row r="4" spans="2:11" ht="15.75">
      <c r="B4" s="227" t="s">
        <v>154</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70</v>
      </c>
      <c r="C6" s="695" t="s">
        <v>288</v>
      </c>
      <c r="D6" s="696"/>
      <c r="E6" s="696"/>
      <c r="F6" s="696"/>
      <c r="G6" s="696"/>
      <c r="H6" s="696"/>
      <c r="I6" s="696"/>
      <c r="J6" s="696"/>
      <c r="K6" s="697"/>
      <c r="L6" s="273"/>
    </row>
    <row r="7" spans="2:11" ht="11.25">
      <c r="B7" s="245"/>
      <c r="C7" s="300"/>
      <c r="D7" s="212"/>
      <c r="E7" s="212"/>
      <c r="F7" s="212"/>
      <c r="G7" s="212"/>
      <c r="H7" s="212"/>
      <c r="I7" s="212"/>
      <c r="J7" s="212"/>
      <c r="K7" s="246"/>
    </row>
    <row r="8" spans="2:11" ht="14.25">
      <c r="B8" s="301" t="s">
        <v>85</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698" t="s">
        <v>159</v>
      </c>
      <c r="I10" s="699"/>
      <c r="J10" s="699"/>
      <c r="K10" s="700"/>
    </row>
    <row r="11" spans="2:11" ht="14.25">
      <c r="B11" s="245"/>
      <c r="C11" s="270"/>
      <c r="D11" s="212"/>
      <c r="E11" s="212"/>
      <c r="F11" s="212"/>
      <c r="G11" s="212"/>
      <c r="H11" s="148"/>
      <c r="I11" s="149"/>
      <c r="J11" s="199"/>
      <c r="K11" s="246"/>
    </row>
    <row r="12" spans="2:11" ht="11.25" customHeight="1">
      <c r="B12" s="245"/>
      <c r="C12" s="270"/>
      <c r="D12" s="212"/>
      <c r="E12" s="212"/>
      <c r="F12" s="212"/>
      <c r="G12" s="212"/>
      <c r="H12" s="678" t="s">
        <v>208</v>
      </c>
      <c r="I12" s="679"/>
      <c r="J12" s="679"/>
      <c r="K12" s="680"/>
    </row>
    <row r="13" spans="2:11" ht="14.25">
      <c r="B13" s="245"/>
      <c r="C13" s="270"/>
      <c r="D13" s="212"/>
      <c r="E13" s="212"/>
      <c r="F13" s="212"/>
      <c r="G13" s="212"/>
      <c r="H13" s="148"/>
      <c r="I13" s="149"/>
      <c r="J13" s="199"/>
      <c r="K13" s="246"/>
    </row>
    <row r="14" spans="2:11" ht="11.25" customHeight="1">
      <c r="B14" s="245"/>
      <c r="C14" s="270"/>
      <c r="D14" s="212"/>
      <c r="E14" s="212"/>
      <c r="F14" s="212"/>
      <c r="G14" s="212"/>
      <c r="H14" s="681" t="s">
        <v>260</v>
      </c>
      <c r="I14" s="682"/>
      <c r="J14" s="682"/>
      <c r="K14" s="683"/>
    </row>
    <row r="15" spans="2:11" ht="11.25" customHeight="1">
      <c r="B15" s="245"/>
      <c r="C15" s="270"/>
      <c r="D15" s="212"/>
      <c r="E15" s="212"/>
      <c r="F15" s="212"/>
      <c r="G15" s="212"/>
      <c r="H15" s="681"/>
      <c r="I15" s="682"/>
      <c r="J15" s="682"/>
      <c r="K15" s="683"/>
    </row>
    <row r="16" spans="2:11" ht="11.25" customHeight="1">
      <c r="B16" s="245"/>
      <c r="C16" s="270"/>
      <c r="D16" s="212"/>
      <c r="E16" s="212"/>
      <c r="F16" s="212"/>
      <c r="G16" s="212"/>
      <c r="H16" s="681"/>
      <c r="I16" s="682"/>
      <c r="J16" s="682"/>
      <c r="K16" s="683"/>
    </row>
    <row r="17" spans="2:11" ht="11.25" customHeight="1">
      <c r="B17" s="245"/>
      <c r="C17" s="270"/>
      <c r="D17" s="212"/>
      <c r="E17" s="212"/>
      <c r="F17" s="212"/>
      <c r="G17" s="212"/>
      <c r="H17" s="681"/>
      <c r="I17" s="682"/>
      <c r="J17" s="682"/>
      <c r="K17" s="683"/>
    </row>
    <row r="18" spans="2:11" ht="11.25" customHeight="1">
      <c r="B18" s="245"/>
      <c r="C18" s="270"/>
      <c r="D18" s="212"/>
      <c r="E18" s="212"/>
      <c r="F18" s="212"/>
      <c r="G18" s="212"/>
      <c r="H18" s="681"/>
      <c r="I18" s="682"/>
      <c r="J18" s="682"/>
      <c r="K18" s="683"/>
    </row>
    <row r="19" spans="2:11" ht="11.25" customHeight="1">
      <c r="B19" s="245"/>
      <c r="C19" s="270"/>
      <c r="D19" s="212"/>
      <c r="E19" s="212"/>
      <c r="F19" s="212"/>
      <c r="G19" s="212"/>
      <c r="H19" s="681"/>
      <c r="I19" s="682"/>
      <c r="J19" s="682"/>
      <c r="K19" s="683"/>
    </row>
    <row r="20" spans="2:11" ht="21.75" customHeight="1">
      <c r="B20" s="245"/>
      <c r="C20" s="270"/>
      <c r="D20" s="212"/>
      <c r="E20" s="212"/>
      <c r="F20" s="212"/>
      <c r="G20" s="212"/>
      <c r="H20" s="681"/>
      <c r="I20" s="682"/>
      <c r="J20" s="682"/>
      <c r="K20" s="683"/>
    </row>
    <row r="21" spans="2:11" ht="11.25" customHeight="1">
      <c r="B21" s="245"/>
      <c r="C21" s="270"/>
      <c r="D21" s="212"/>
      <c r="E21" s="212"/>
      <c r="F21" s="212"/>
      <c r="G21" s="212"/>
      <c r="H21" s="681"/>
      <c r="I21" s="682"/>
      <c r="J21" s="682"/>
      <c r="K21" s="683"/>
    </row>
    <row r="22" spans="2:11" ht="11.25" customHeight="1">
      <c r="B22" s="245"/>
      <c r="C22" s="270"/>
      <c r="D22" s="212"/>
      <c r="E22" s="212"/>
      <c r="F22" s="212"/>
      <c r="G22" s="212"/>
      <c r="H22" s="681"/>
      <c r="I22" s="682"/>
      <c r="J22" s="682"/>
      <c r="K22" s="683"/>
    </row>
    <row r="23" spans="2:11" ht="11.25" customHeight="1">
      <c r="B23" s="245"/>
      <c r="C23" s="270"/>
      <c r="D23" s="212"/>
      <c r="E23" s="212"/>
      <c r="F23" s="212"/>
      <c r="G23" s="212"/>
      <c r="H23" s="681"/>
      <c r="I23" s="682"/>
      <c r="J23" s="682"/>
      <c r="K23" s="683"/>
    </row>
    <row r="24" spans="2:11" ht="20.25" customHeight="1">
      <c r="B24" s="245"/>
      <c r="C24" s="270"/>
      <c r="D24" s="212"/>
      <c r="E24" s="212"/>
      <c r="F24" s="212"/>
      <c r="G24" s="212"/>
      <c r="H24" s="681"/>
      <c r="I24" s="682"/>
      <c r="J24" s="682"/>
      <c r="K24" s="683"/>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152</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686" t="s">
        <v>291</v>
      </c>
      <c r="C58" s="687"/>
      <c r="D58" s="687"/>
      <c r="E58" s="687"/>
      <c r="F58" s="687"/>
      <c r="G58" s="687"/>
      <c r="H58" s="687"/>
      <c r="I58" s="687"/>
      <c r="J58" s="687"/>
      <c r="K58" s="688"/>
    </row>
    <row r="59" spans="2:11" ht="11.25">
      <c r="B59" s="689"/>
      <c r="C59" s="690"/>
      <c r="D59" s="690"/>
      <c r="E59" s="690"/>
      <c r="F59" s="690"/>
      <c r="G59" s="690"/>
      <c r="H59" s="690"/>
      <c r="I59" s="690"/>
      <c r="J59" s="690"/>
      <c r="K59" s="691"/>
    </row>
    <row r="60" spans="2:11" ht="11.25">
      <c r="B60" s="689"/>
      <c r="C60" s="690"/>
      <c r="D60" s="690"/>
      <c r="E60" s="690"/>
      <c r="F60" s="690"/>
      <c r="G60" s="690"/>
      <c r="H60" s="690"/>
      <c r="I60" s="690"/>
      <c r="J60" s="690"/>
      <c r="K60" s="691"/>
    </row>
    <row r="61" spans="2:11" ht="11.25">
      <c r="B61" s="689"/>
      <c r="C61" s="690"/>
      <c r="D61" s="690"/>
      <c r="E61" s="690"/>
      <c r="F61" s="690"/>
      <c r="G61" s="690"/>
      <c r="H61" s="690"/>
      <c r="I61" s="690"/>
      <c r="J61" s="690"/>
      <c r="K61" s="691"/>
    </row>
    <row r="62" spans="2:11" ht="11.25">
      <c r="B62" s="689"/>
      <c r="C62" s="690"/>
      <c r="D62" s="690"/>
      <c r="E62" s="690"/>
      <c r="F62" s="690"/>
      <c r="G62" s="690"/>
      <c r="H62" s="690"/>
      <c r="I62" s="690"/>
      <c r="J62" s="690"/>
      <c r="K62" s="691"/>
    </row>
    <row r="63" spans="2:11" ht="11.25">
      <c r="B63" s="689"/>
      <c r="C63" s="690"/>
      <c r="D63" s="690"/>
      <c r="E63" s="690"/>
      <c r="F63" s="690"/>
      <c r="G63" s="690"/>
      <c r="H63" s="690"/>
      <c r="I63" s="690"/>
      <c r="J63" s="690"/>
      <c r="K63" s="691"/>
    </row>
    <row r="64" spans="2:11" ht="11.25">
      <c r="B64" s="689"/>
      <c r="C64" s="690"/>
      <c r="D64" s="690"/>
      <c r="E64" s="690"/>
      <c r="F64" s="690"/>
      <c r="G64" s="690"/>
      <c r="H64" s="690"/>
      <c r="I64" s="690"/>
      <c r="J64" s="690"/>
      <c r="K64" s="691"/>
    </row>
    <row r="65" spans="2:11" ht="11.25">
      <c r="B65" s="692"/>
      <c r="C65" s="693"/>
      <c r="D65" s="693"/>
      <c r="E65" s="693"/>
      <c r="F65" s="693"/>
      <c r="G65" s="693"/>
      <c r="H65" s="693"/>
      <c r="I65" s="693"/>
      <c r="J65" s="693"/>
      <c r="K65" s="694"/>
    </row>
    <row r="66" spans="2:11" ht="15.75">
      <c r="B66" s="227" t="s">
        <v>153</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41</v>
      </c>
      <c r="C68" s="276" t="s">
        <v>26</v>
      </c>
      <c r="D68" s="277" t="s">
        <v>27</v>
      </c>
      <c r="E68" s="277" t="s">
        <v>28</v>
      </c>
      <c r="F68" s="277" t="s">
        <v>29</v>
      </c>
      <c r="G68" s="277" t="s">
        <v>30</v>
      </c>
      <c r="H68" s="277" t="s">
        <v>68</v>
      </c>
      <c r="I68" s="277" t="s">
        <v>69</v>
      </c>
      <c r="J68" s="277" t="s">
        <v>31</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80">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v>6381.6</v>
      </c>
      <c r="D72" s="280">
        <v>215.03</v>
      </c>
      <c r="E72" s="281">
        <f t="shared" si="2"/>
        <v>28003.949999999997</v>
      </c>
      <c r="F72" s="282">
        <f t="shared" si="2"/>
        <v>892.2676999999999</v>
      </c>
      <c r="G72" s="283">
        <f t="shared" si="0"/>
        <v>0.03369531152062179</v>
      </c>
      <c r="H72" s="288">
        <v>0.0009</v>
      </c>
      <c r="I72" s="288">
        <v>0.0956</v>
      </c>
      <c r="J72" s="283">
        <f t="shared" si="1"/>
        <v>0.031862208724126415</v>
      </c>
      <c r="K72" s="306"/>
      <c r="L72" s="278"/>
      <c r="M72" s="265"/>
      <c r="N72" s="285"/>
      <c r="O72" s="270"/>
      <c r="P72" s="286"/>
      <c r="Q72" s="286"/>
      <c r="R72" s="212"/>
      <c r="S72" s="286"/>
    </row>
    <row r="73" spans="2:19" ht="14.25">
      <c r="B73" s="305">
        <v>40756</v>
      </c>
      <c r="C73" s="182">
        <v>6327.81</v>
      </c>
      <c r="D73" s="280">
        <v>221.84</v>
      </c>
      <c r="E73" s="281">
        <f t="shared" si="2"/>
        <v>34331.759999999995</v>
      </c>
      <c r="F73" s="282">
        <f t="shared" si="2"/>
        <v>1114.1076999999998</v>
      </c>
      <c r="G73" s="283">
        <f t="shared" si="0"/>
        <v>0.035057942637342146</v>
      </c>
      <c r="H73" s="288">
        <v>0.0026</v>
      </c>
      <c r="I73" s="288">
        <v>0.0878</v>
      </c>
      <c r="J73" s="283">
        <f t="shared" si="1"/>
        <v>0.03245122592025576</v>
      </c>
      <c r="K73" s="306"/>
      <c r="L73" s="278"/>
      <c r="M73" s="285"/>
      <c r="N73" s="285"/>
      <c r="O73" s="270"/>
      <c r="P73" s="286"/>
      <c r="Q73" s="286"/>
      <c r="R73" s="212"/>
      <c r="S73" s="286"/>
    </row>
    <row r="74" spans="2:19" ht="14.25">
      <c r="B74" s="305">
        <v>40787</v>
      </c>
      <c r="C74" s="182">
        <v>6001.38</v>
      </c>
      <c r="D74" s="280">
        <v>213.2</v>
      </c>
      <c r="E74" s="281">
        <f t="shared" si="2"/>
        <v>40333.13999999999</v>
      </c>
      <c r="F74" s="282">
        <f t="shared" si="2"/>
        <v>1327.3076999999998</v>
      </c>
      <c r="G74" s="283">
        <f t="shared" si="0"/>
        <v>0.035525162545947765</v>
      </c>
      <c r="H74" s="288">
        <v>0.0023</v>
      </c>
      <c r="I74" s="288">
        <v>0.0994</v>
      </c>
      <c r="J74" s="283">
        <f t="shared" si="1"/>
        <v>0.032908613115666174</v>
      </c>
      <c r="K74" s="306"/>
      <c r="L74" s="278"/>
      <c r="M74" s="285"/>
      <c r="N74" s="285"/>
      <c r="O74" s="270"/>
      <c r="P74" s="286"/>
      <c r="Q74" s="286"/>
      <c r="R74" s="212"/>
      <c r="S74" s="286"/>
    </row>
    <row r="75" spans="2:19" ht="14.25">
      <c r="B75" s="305">
        <v>40817</v>
      </c>
      <c r="C75" s="182">
        <v>7523.2932200000005</v>
      </c>
      <c r="D75" s="280">
        <v>290.0885600000001</v>
      </c>
      <c r="E75" s="281">
        <f>IF(C75&lt;&gt;"",C75+E74,"")</f>
        <v>47856.43321999999</v>
      </c>
      <c r="F75" s="282">
        <f>IF(D75&lt;&gt;"",D75+F74,"")</f>
        <v>1617.39626</v>
      </c>
      <c r="G75" s="283">
        <f>IF(C75&lt;&gt;"",D75/C75,"")</f>
        <v>0.03855872043227368</v>
      </c>
      <c r="H75" s="288">
        <v>0.0006</v>
      </c>
      <c r="I75" s="288">
        <v>0.1337</v>
      </c>
      <c r="J75" s="283">
        <f aca="true" t="shared" si="3" ref="J75:J80">IF(E75&lt;&gt;"",F75/E75,"")</f>
        <v>0.03379684090882192</v>
      </c>
      <c r="K75" s="306"/>
      <c r="L75" s="278"/>
      <c r="M75" s="285"/>
      <c r="N75" s="285"/>
      <c r="O75" s="270"/>
      <c r="P75" s="286"/>
      <c r="Q75" s="286"/>
      <c r="R75" s="212"/>
      <c r="S75" s="286"/>
    </row>
    <row r="76" spans="2:19" ht="14.25">
      <c r="B76" s="305">
        <v>40848</v>
      </c>
      <c r="C76" s="182">
        <v>8160.34</v>
      </c>
      <c r="D76" s="280">
        <v>298.99</v>
      </c>
      <c r="E76" s="281">
        <f>IF(C76&lt;&gt;"",C76+E75,"")</f>
        <v>56016.77321999999</v>
      </c>
      <c r="F76" s="282">
        <f>IF(D76&lt;&gt;"",D76+F75,"")</f>
        <v>1916.38626</v>
      </c>
      <c r="G76" s="283">
        <f>IF(C76&lt;&gt;"",D76/C76,"")</f>
        <v>0.03663940473068524</v>
      </c>
      <c r="H76" s="288">
        <v>0.0005</v>
      </c>
      <c r="I76" s="288">
        <v>0.0999</v>
      </c>
      <c r="J76" s="283">
        <f t="shared" si="3"/>
        <v>0.03421093629355612</v>
      </c>
      <c r="K76" s="306"/>
      <c r="L76" s="278"/>
      <c r="M76" s="285"/>
      <c r="N76" s="285"/>
      <c r="O76" s="270"/>
      <c r="P76" s="286"/>
      <c r="Q76" s="286"/>
      <c r="R76" s="212"/>
      <c r="S76" s="286"/>
    </row>
    <row r="77" spans="2:19" ht="14.25">
      <c r="B77" s="305">
        <v>40878</v>
      </c>
      <c r="C77" s="182">
        <v>9357.358</v>
      </c>
      <c r="D77" s="280">
        <v>403.46600000000007</v>
      </c>
      <c r="E77" s="281">
        <f aca="true" t="shared" si="4" ref="E77:F80">IF(C77&lt;&gt;"",C77+E76,"")</f>
        <v>65374.13121999999</v>
      </c>
      <c r="F77" s="282">
        <f t="shared" si="4"/>
        <v>2319.85226</v>
      </c>
      <c r="G77" s="283">
        <f t="shared" si="0"/>
        <v>0.04311751244314902</v>
      </c>
      <c r="H77" s="288">
        <v>0.0032</v>
      </c>
      <c r="I77" s="288">
        <v>0.1597</v>
      </c>
      <c r="J77" s="283">
        <f t="shared" si="3"/>
        <v>0.03548578339332921</v>
      </c>
      <c r="K77" s="306"/>
      <c r="L77" s="278"/>
      <c r="M77" s="285"/>
      <c r="N77" s="285"/>
      <c r="O77" s="270"/>
      <c r="P77" s="286"/>
      <c r="Q77" s="286"/>
      <c r="R77" s="212"/>
      <c r="S77" s="286"/>
    </row>
    <row r="78" spans="2:19" ht="14.25">
      <c r="B78" s="305">
        <v>40909</v>
      </c>
      <c r="C78" s="182"/>
      <c r="D78" s="280"/>
      <c r="E78" s="281">
        <f t="shared" si="4"/>
      </c>
      <c r="F78" s="282">
        <f>IF(D78&lt;&gt;"",D78+F77,"")</f>
      </c>
      <c r="G78" s="283">
        <f>IF(C78&lt;&gt;"",D78/C78,"")</f>
      </c>
      <c r="H78" s="288"/>
      <c r="I78" s="288"/>
      <c r="J78" s="283">
        <f t="shared" si="3"/>
      </c>
      <c r="K78" s="306"/>
      <c r="L78" s="278"/>
      <c r="M78" s="285"/>
      <c r="N78" s="285"/>
      <c r="O78" s="270"/>
      <c r="P78" s="286"/>
      <c r="Q78" s="286"/>
      <c r="R78" s="212"/>
      <c r="S78" s="286"/>
    </row>
    <row r="79" spans="2:19" ht="14.25">
      <c r="B79" s="305">
        <v>40940</v>
      </c>
      <c r="C79" s="182"/>
      <c r="D79" s="280"/>
      <c r="E79" s="281">
        <f t="shared" si="4"/>
      </c>
      <c r="F79" s="282">
        <f t="shared" si="4"/>
      </c>
      <c r="G79" s="283">
        <f t="shared" si="0"/>
      </c>
      <c r="H79" s="288"/>
      <c r="I79" s="288"/>
      <c r="J79" s="283">
        <f t="shared" si="3"/>
      </c>
      <c r="K79" s="306"/>
      <c r="L79" s="278"/>
      <c r="M79" s="285"/>
      <c r="N79" s="285"/>
      <c r="O79" s="270"/>
      <c r="P79" s="286"/>
      <c r="Q79" s="286"/>
      <c r="R79" s="212"/>
      <c r="S79" s="286"/>
    </row>
    <row r="80" spans="2:19" ht="15" thickBot="1">
      <c r="B80" s="307">
        <v>40969</v>
      </c>
      <c r="C80" s="193"/>
      <c r="D80" s="290"/>
      <c r="E80" s="310">
        <f t="shared" si="4"/>
      </c>
      <c r="F80" s="311">
        <f t="shared" si="4"/>
      </c>
      <c r="G80" s="312">
        <f t="shared" si="0"/>
      </c>
      <c r="H80" s="291"/>
      <c r="I80" s="291"/>
      <c r="J80" s="292">
        <f t="shared" si="3"/>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4"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A106">
      <selection activeCell="J63" sqref="J63:Q75"/>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5" width="7.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161</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154</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70</v>
      </c>
      <c r="C6" s="721" t="s">
        <v>280</v>
      </c>
      <c r="D6" s="722"/>
      <c r="E6" s="722"/>
      <c r="F6" s="722"/>
      <c r="G6" s="722"/>
      <c r="H6" s="722"/>
      <c r="I6" s="722"/>
      <c r="J6" s="722"/>
      <c r="K6" s="722"/>
      <c r="L6" s="722"/>
      <c r="M6" s="722"/>
      <c r="N6" s="722"/>
      <c r="O6" s="722"/>
      <c r="P6" s="722"/>
      <c r="Q6" s="723"/>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209</v>
      </c>
      <c r="C8" s="313" t="s">
        <v>100</v>
      </c>
      <c r="D8" s="719" t="s">
        <v>102</v>
      </c>
      <c r="E8" s="719"/>
      <c r="F8" s="719"/>
      <c r="G8" s="719" t="s">
        <v>103</v>
      </c>
      <c r="H8" s="719"/>
      <c r="I8" s="719"/>
      <c r="J8" s="719" t="s">
        <v>104</v>
      </c>
      <c r="K8" s="719"/>
      <c r="L8" s="719"/>
      <c r="M8" s="293"/>
      <c r="N8" s="293"/>
      <c r="O8" s="293"/>
      <c r="P8" s="293"/>
      <c r="Q8" s="298"/>
      <c r="S8" s="293"/>
      <c r="T8" s="315"/>
    </row>
    <row r="9" spans="2:20" s="314" customFormat="1" ht="89.25" customHeight="1">
      <c r="B9" s="353" t="s">
        <v>99</v>
      </c>
      <c r="C9" s="316" t="s">
        <v>109</v>
      </c>
      <c r="D9" s="720" t="s">
        <v>110</v>
      </c>
      <c r="E9" s="720"/>
      <c r="F9" s="720"/>
      <c r="G9" s="720" t="s">
        <v>112</v>
      </c>
      <c r="H9" s="720"/>
      <c r="I9" s="720"/>
      <c r="J9" s="720" t="s">
        <v>111</v>
      </c>
      <c r="K9" s="720"/>
      <c r="L9" s="720"/>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210</v>
      </c>
      <c r="C11" s="271" t="s">
        <v>101</v>
      </c>
      <c r="D11" s="719" t="s">
        <v>105</v>
      </c>
      <c r="E11" s="719"/>
      <c r="F11" s="719"/>
      <c r="G11" s="719" t="s">
        <v>106</v>
      </c>
      <c r="H11" s="719"/>
      <c r="I11" s="719"/>
      <c r="J11" s="719" t="s">
        <v>107</v>
      </c>
      <c r="K11" s="719"/>
      <c r="L11" s="719"/>
      <c r="M11" s="719" t="s">
        <v>108</v>
      </c>
      <c r="N11" s="719"/>
      <c r="O11" s="719"/>
      <c r="P11" s="212"/>
      <c r="Q11" s="246"/>
    </row>
    <row r="12" spans="2:17" ht="68.25" customHeight="1">
      <c r="B12" s="353" t="s">
        <v>99</v>
      </c>
      <c r="C12" s="318" t="s">
        <v>119</v>
      </c>
      <c r="D12" s="720" t="s">
        <v>113</v>
      </c>
      <c r="E12" s="720"/>
      <c r="F12" s="720"/>
      <c r="G12" s="720" t="s">
        <v>114</v>
      </c>
      <c r="H12" s="720"/>
      <c r="I12" s="720"/>
      <c r="J12" s="720" t="s">
        <v>115</v>
      </c>
      <c r="K12" s="720"/>
      <c r="L12" s="720"/>
      <c r="M12" s="720" t="s">
        <v>218</v>
      </c>
      <c r="N12" s="720"/>
      <c r="O12" s="720"/>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698" t="s">
        <v>159</v>
      </c>
      <c r="K15" s="699"/>
      <c r="L15" s="699"/>
      <c r="M15" s="699"/>
      <c r="N15" s="699"/>
      <c r="O15" s="699"/>
      <c r="P15" s="699"/>
      <c r="Q15" s="700"/>
    </row>
    <row r="16" spans="2:17" ht="14.25" customHeight="1">
      <c r="B16" s="245"/>
      <c r="C16" s="212"/>
      <c r="D16" s="212"/>
      <c r="E16" s="212"/>
      <c r="F16" s="212"/>
      <c r="G16" s="212"/>
      <c r="H16" s="212"/>
      <c r="I16" s="212"/>
      <c r="J16" s="730"/>
      <c r="K16" s="731"/>
      <c r="L16" s="731"/>
      <c r="M16" s="731"/>
      <c r="N16" s="731"/>
      <c r="O16" s="731"/>
      <c r="P16" s="731"/>
      <c r="Q16" s="685"/>
    </row>
    <row r="17" spans="2:17" ht="11.25" customHeight="1">
      <c r="B17" s="245"/>
      <c r="C17" s="212"/>
      <c r="D17" s="212"/>
      <c r="E17" s="212"/>
      <c r="F17" s="212"/>
      <c r="G17" s="212"/>
      <c r="H17" s="212"/>
      <c r="I17" s="212"/>
      <c r="J17" s="678" t="s">
        <v>211</v>
      </c>
      <c r="K17" s="679"/>
      <c r="L17" s="679"/>
      <c r="M17" s="679"/>
      <c r="N17" s="679"/>
      <c r="O17" s="679"/>
      <c r="P17" s="679"/>
      <c r="Q17" s="680"/>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24" t="s">
        <v>25</v>
      </c>
      <c r="K19" s="725"/>
      <c r="L19" s="725"/>
      <c r="M19" s="725"/>
      <c r="N19" s="725"/>
      <c r="O19" s="725"/>
      <c r="P19" s="725"/>
      <c r="Q19" s="726"/>
    </row>
    <row r="20" spans="2:17" ht="11.25" customHeight="1">
      <c r="B20" s="245"/>
      <c r="C20" s="212"/>
      <c r="D20" s="212"/>
      <c r="E20" s="212"/>
      <c r="F20" s="212"/>
      <c r="G20" s="212"/>
      <c r="H20" s="212"/>
      <c r="I20" s="212"/>
      <c r="J20" s="724"/>
      <c r="K20" s="725"/>
      <c r="L20" s="725"/>
      <c r="M20" s="725"/>
      <c r="N20" s="725"/>
      <c r="O20" s="725"/>
      <c r="P20" s="725"/>
      <c r="Q20" s="726"/>
    </row>
    <row r="21" spans="2:17" ht="11.25" customHeight="1">
      <c r="B21" s="245"/>
      <c r="C21" s="212"/>
      <c r="D21" s="212"/>
      <c r="E21" s="212"/>
      <c r="F21" s="212"/>
      <c r="G21" s="212"/>
      <c r="H21" s="212"/>
      <c r="I21" s="212"/>
      <c r="J21" s="724"/>
      <c r="K21" s="725"/>
      <c r="L21" s="725"/>
      <c r="M21" s="725"/>
      <c r="N21" s="725"/>
      <c r="O21" s="725"/>
      <c r="P21" s="725"/>
      <c r="Q21" s="726"/>
    </row>
    <row r="22" spans="2:17" ht="11.25" customHeight="1">
      <c r="B22" s="245"/>
      <c r="C22" s="212"/>
      <c r="D22" s="212"/>
      <c r="E22" s="212"/>
      <c r="F22" s="212"/>
      <c r="G22" s="212"/>
      <c r="H22" s="212"/>
      <c r="I22" s="212"/>
      <c r="J22" s="724"/>
      <c r="K22" s="725"/>
      <c r="L22" s="725"/>
      <c r="M22" s="725"/>
      <c r="N22" s="725"/>
      <c r="O22" s="725"/>
      <c r="P22" s="725"/>
      <c r="Q22" s="726"/>
    </row>
    <row r="23" spans="2:17" ht="11.25" customHeight="1">
      <c r="B23" s="245"/>
      <c r="C23" s="212"/>
      <c r="D23" s="212"/>
      <c r="E23" s="212"/>
      <c r="F23" s="212"/>
      <c r="G23" s="212"/>
      <c r="H23" s="212"/>
      <c r="I23" s="212"/>
      <c r="J23" s="724"/>
      <c r="K23" s="725"/>
      <c r="L23" s="725"/>
      <c r="M23" s="725"/>
      <c r="N23" s="725"/>
      <c r="O23" s="725"/>
      <c r="P23" s="725"/>
      <c r="Q23" s="726"/>
    </row>
    <row r="24" spans="2:17" ht="11.25" customHeight="1">
      <c r="B24" s="245"/>
      <c r="C24" s="212"/>
      <c r="D24" s="212"/>
      <c r="E24" s="212"/>
      <c r="F24" s="212"/>
      <c r="G24" s="212"/>
      <c r="H24" s="212"/>
      <c r="I24" s="212"/>
      <c r="J24" s="724"/>
      <c r="K24" s="725"/>
      <c r="L24" s="725"/>
      <c r="M24" s="725"/>
      <c r="N24" s="725"/>
      <c r="O24" s="725"/>
      <c r="P24" s="725"/>
      <c r="Q24" s="726"/>
    </row>
    <row r="25" spans="2:17" ht="11.25" customHeight="1">
      <c r="B25" s="245"/>
      <c r="C25" s="212"/>
      <c r="D25" s="212"/>
      <c r="E25" s="212"/>
      <c r="F25" s="212"/>
      <c r="G25" s="212"/>
      <c r="H25" s="212"/>
      <c r="I25" s="212"/>
      <c r="J25" s="724"/>
      <c r="K25" s="725"/>
      <c r="L25" s="725"/>
      <c r="M25" s="725"/>
      <c r="N25" s="725"/>
      <c r="O25" s="725"/>
      <c r="P25" s="725"/>
      <c r="Q25" s="726"/>
    </row>
    <row r="26" spans="2:17" ht="11.25" customHeight="1">
      <c r="B26" s="245"/>
      <c r="C26" s="212"/>
      <c r="D26" s="212"/>
      <c r="E26" s="212"/>
      <c r="F26" s="212"/>
      <c r="G26" s="212"/>
      <c r="H26" s="212"/>
      <c r="I26" s="212"/>
      <c r="J26" s="724"/>
      <c r="K26" s="725"/>
      <c r="L26" s="725"/>
      <c r="M26" s="725"/>
      <c r="N26" s="725"/>
      <c r="O26" s="725"/>
      <c r="P26" s="725"/>
      <c r="Q26" s="726"/>
    </row>
    <row r="27" spans="2:17" ht="11.25" customHeight="1">
      <c r="B27" s="245"/>
      <c r="C27" s="212"/>
      <c r="D27" s="212"/>
      <c r="E27" s="212"/>
      <c r="F27" s="212"/>
      <c r="G27" s="212"/>
      <c r="H27" s="212"/>
      <c r="I27" s="212"/>
      <c r="J27" s="724"/>
      <c r="K27" s="725"/>
      <c r="L27" s="725"/>
      <c r="M27" s="725"/>
      <c r="N27" s="725"/>
      <c r="O27" s="725"/>
      <c r="P27" s="725"/>
      <c r="Q27" s="726"/>
    </row>
    <row r="28" spans="2:17" ht="11.25" customHeight="1">
      <c r="B28" s="245"/>
      <c r="C28" s="212"/>
      <c r="D28" s="212"/>
      <c r="E28" s="212"/>
      <c r="F28" s="212"/>
      <c r="G28" s="212"/>
      <c r="H28" s="212"/>
      <c r="I28" s="212"/>
      <c r="J28" s="724"/>
      <c r="K28" s="725"/>
      <c r="L28" s="725"/>
      <c r="M28" s="725"/>
      <c r="N28" s="725"/>
      <c r="O28" s="725"/>
      <c r="P28" s="725"/>
      <c r="Q28" s="726"/>
    </row>
    <row r="29" spans="2:17" ht="11.25">
      <c r="B29" s="245"/>
      <c r="C29" s="212"/>
      <c r="D29" s="212"/>
      <c r="E29" s="212"/>
      <c r="F29" s="212"/>
      <c r="G29" s="212"/>
      <c r="H29" s="212"/>
      <c r="I29" s="212"/>
      <c r="J29" s="724"/>
      <c r="K29" s="725"/>
      <c r="L29" s="725"/>
      <c r="M29" s="725"/>
      <c r="N29" s="725"/>
      <c r="O29" s="725"/>
      <c r="P29" s="725"/>
      <c r="Q29" s="726"/>
    </row>
    <row r="30" spans="2:17" ht="11.25">
      <c r="B30" s="245"/>
      <c r="C30" s="212"/>
      <c r="D30" s="212"/>
      <c r="E30" s="212"/>
      <c r="F30" s="212"/>
      <c r="G30" s="212"/>
      <c r="H30" s="212"/>
      <c r="I30" s="212"/>
      <c r="J30" s="724"/>
      <c r="K30" s="725"/>
      <c r="L30" s="725"/>
      <c r="M30" s="725"/>
      <c r="N30" s="725"/>
      <c r="O30" s="725"/>
      <c r="P30" s="725"/>
      <c r="Q30" s="726"/>
    </row>
    <row r="31" spans="2:17" ht="11.25">
      <c r="B31" s="245"/>
      <c r="C31" s="212"/>
      <c r="D31" s="212"/>
      <c r="E31" s="212"/>
      <c r="F31" s="212"/>
      <c r="G31" s="212"/>
      <c r="H31" s="212"/>
      <c r="I31" s="212"/>
      <c r="J31" s="724"/>
      <c r="K31" s="725"/>
      <c r="L31" s="725"/>
      <c r="M31" s="725"/>
      <c r="N31" s="725"/>
      <c r="O31" s="725"/>
      <c r="P31" s="725"/>
      <c r="Q31" s="726"/>
    </row>
    <row r="32" spans="2:17" ht="11.25">
      <c r="B32" s="245"/>
      <c r="C32" s="212"/>
      <c r="D32" s="212"/>
      <c r="E32" s="212"/>
      <c r="F32" s="212"/>
      <c r="G32" s="212"/>
      <c r="H32" s="212"/>
      <c r="I32" s="212"/>
      <c r="J32" s="724"/>
      <c r="K32" s="725"/>
      <c r="L32" s="725"/>
      <c r="M32" s="725"/>
      <c r="N32" s="725"/>
      <c r="O32" s="725"/>
      <c r="P32" s="725"/>
      <c r="Q32" s="726"/>
    </row>
    <row r="33" spans="2:17" ht="11.25">
      <c r="B33" s="245"/>
      <c r="C33" s="212"/>
      <c r="D33" s="212"/>
      <c r="E33" s="212"/>
      <c r="F33" s="212"/>
      <c r="G33" s="212"/>
      <c r="H33" s="212"/>
      <c r="I33" s="212"/>
      <c r="J33" s="724"/>
      <c r="K33" s="725"/>
      <c r="L33" s="725"/>
      <c r="M33" s="725"/>
      <c r="N33" s="725"/>
      <c r="O33" s="725"/>
      <c r="P33" s="725"/>
      <c r="Q33" s="726"/>
    </row>
    <row r="34" spans="2:17" ht="11.25">
      <c r="B34" s="245"/>
      <c r="C34" s="212"/>
      <c r="D34" s="212"/>
      <c r="E34" s="212"/>
      <c r="F34" s="212"/>
      <c r="G34" s="212"/>
      <c r="H34" s="212"/>
      <c r="I34" s="212"/>
      <c r="J34" s="727"/>
      <c r="K34" s="728"/>
      <c r="L34" s="728"/>
      <c r="M34" s="728"/>
      <c r="N34" s="728"/>
      <c r="O34" s="728"/>
      <c r="P34" s="728"/>
      <c r="Q34" s="729"/>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152</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689" t="s">
        <v>7</v>
      </c>
      <c r="C63" s="690"/>
      <c r="D63" s="690"/>
      <c r="E63" s="690"/>
      <c r="F63" s="690"/>
      <c r="G63" s="690"/>
      <c r="H63" s="690"/>
      <c r="I63" s="212"/>
      <c r="J63" s="690" t="s">
        <v>8</v>
      </c>
      <c r="K63" s="690"/>
      <c r="L63" s="690"/>
      <c r="M63" s="690"/>
      <c r="N63" s="690"/>
      <c r="O63" s="690"/>
      <c r="P63" s="690"/>
      <c r="Q63" s="691"/>
    </row>
    <row r="64" spans="2:17" ht="11.25">
      <c r="B64" s="689"/>
      <c r="C64" s="690"/>
      <c r="D64" s="690"/>
      <c r="E64" s="690"/>
      <c r="F64" s="690"/>
      <c r="G64" s="690"/>
      <c r="H64" s="690"/>
      <c r="I64" s="212"/>
      <c r="J64" s="690"/>
      <c r="K64" s="690"/>
      <c r="L64" s="690"/>
      <c r="M64" s="690"/>
      <c r="N64" s="690"/>
      <c r="O64" s="690"/>
      <c r="P64" s="690"/>
      <c r="Q64" s="691"/>
    </row>
    <row r="65" spans="2:17" ht="11.25">
      <c r="B65" s="689"/>
      <c r="C65" s="690"/>
      <c r="D65" s="690"/>
      <c r="E65" s="690"/>
      <c r="F65" s="690"/>
      <c r="G65" s="690"/>
      <c r="H65" s="690"/>
      <c r="I65" s="212"/>
      <c r="J65" s="690"/>
      <c r="K65" s="690"/>
      <c r="L65" s="690"/>
      <c r="M65" s="690"/>
      <c r="N65" s="690"/>
      <c r="O65" s="690"/>
      <c r="P65" s="690"/>
      <c r="Q65" s="691"/>
    </row>
    <row r="66" spans="2:17" ht="11.25">
      <c r="B66" s="689"/>
      <c r="C66" s="690"/>
      <c r="D66" s="690"/>
      <c r="E66" s="690"/>
      <c r="F66" s="690"/>
      <c r="G66" s="690"/>
      <c r="H66" s="690"/>
      <c r="I66" s="212"/>
      <c r="J66" s="690"/>
      <c r="K66" s="690"/>
      <c r="L66" s="690"/>
      <c r="M66" s="690"/>
      <c r="N66" s="690"/>
      <c r="O66" s="690"/>
      <c r="P66" s="690"/>
      <c r="Q66" s="691"/>
    </row>
    <row r="67" spans="2:17" ht="11.25">
      <c r="B67" s="689"/>
      <c r="C67" s="690"/>
      <c r="D67" s="690"/>
      <c r="E67" s="690"/>
      <c r="F67" s="690"/>
      <c r="G67" s="690"/>
      <c r="H67" s="690"/>
      <c r="I67" s="212"/>
      <c r="J67" s="690"/>
      <c r="K67" s="690"/>
      <c r="L67" s="690"/>
      <c r="M67" s="690"/>
      <c r="N67" s="690"/>
      <c r="O67" s="690"/>
      <c r="P67" s="690"/>
      <c r="Q67" s="691"/>
    </row>
    <row r="68" spans="2:17" ht="11.25">
      <c r="B68" s="689"/>
      <c r="C68" s="690"/>
      <c r="D68" s="690"/>
      <c r="E68" s="690"/>
      <c r="F68" s="690"/>
      <c r="G68" s="690"/>
      <c r="H68" s="690"/>
      <c r="I68" s="212"/>
      <c r="J68" s="690"/>
      <c r="K68" s="690"/>
      <c r="L68" s="690"/>
      <c r="M68" s="690"/>
      <c r="N68" s="690"/>
      <c r="O68" s="690"/>
      <c r="P68" s="690"/>
      <c r="Q68" s="691"/>
    </row>
    <row r="69" spans="2:17" ht="11.25">
      <c r="B69" s="689"/>
      <c r="C69" s="690"/>
      <c r="D69" s="690"/>
      <c r="E69" s="690"/>
      <c r="F69" s="690"/>
      <c r="G69" s="690"/>
      <c r="H69" s="690"/>
      <c r="I69" s="212"/>
      <c r="J69" s="690"/>
      <c r="K69" s="690"/>
      <c r="L69" s="690"/>
      <c r="M69" s="690"/>
      <c r="N69" s="690"/>
      <c r="O69" s="690"/>
      <c r="P69" s="690"/>
      <c r="Q69" s="691"/>
    </row>
    <row r="70" spans="2:17" ht="11.25">
      <c r="B70" s="689"/>
      <c r="C70" s="690"/>
      <c r="D70" s="690"/>
      <c r="E70" s="690"/>
      <c r="F70" s="690"/>
      <c r="G70" s="690"/>
      <c r="H70" s="690"/>
      <c r="I70" s="212"/>
      <c r="J70" s="690"/>
      <c r="K70" s="690"/>
      <c r="L70" s="690"/>
      <c r="M70" s="690"/>
      <c r="N70" s="690"/>
      <c r="O70" s="690"/>
      <c r="P70" s="690"/>
      <c r="Q70" s="691"/>
    </row>
    <row r="71" spans="2:17" ht="11.25">
      <c r="B71" s="689"/>
      <c r="C71" s="690"/>
      <c r="D71" s="690"/>
      <c r="E71" s="690"/>
      <c r="F71" s="690"/>
      <c r="G71" s="690"/>
      <c r="H71" s="690"/>
      <c r="I71" s="212"/>
      <c r="J71" s="690"/>
      <c r="K71" s="690"/>
      <c r="L71" s="690"/>
      <c r="M71" s="690"/>
      <c r="N71" s="690"/>
      <c r="O71" s="690"/>
      <c r="P71" s="690"/>
      <c r="Q71" s="691"/>
    </row>
    <row r="72" spans="2:17" ht="11.25">
      <c r="B72" s="689"/>
      <c r="C72" s="690"/>
      <c r="D72" s="690"/>
      <c r="E72" s="690"/>
      <c r="F72" s="690"/>
      <c r="G72" s="690"/>
      <c r="H72" s="690"/>
      <c r="I72" s="212"/>
      <c r="J72" s="690"/>
      <c r="K72" s="690"/>
      <c r="L72" s="690"/>
      <c r="M72" s="690"/>
      <c r="N72" s="690"/>
      <c r="O72" s="690"/>
      <c r="P72" s="690"/>
      <c r="Q72" s="691"/>
    </row>
    <row r="73" spans="2:17" ht="11.25">
      <c r="B73" s="689"/>
      <c r="C73" s="690"/>
      <c r="D73" s="690"/>
      <c r="E73" s="690"/>
      <c r="F73" s="690"/>
      <c r="G73" s="690"/>
      <c r="H73" s="690"/>
      <c r="I73" s="212"/>
      <c r="J73" s="690"/>
      <c r="K73" s="690"/>
      <c r="L73" s="690"/>
      <c r="M73" s="690"/>
      <c r="N73" s="690"/>
      <c r="O73" s="690"/>
      <c r="P73" s="690"/>
      <c r="Q73" s="691"/>
    </row>
    <row r="74" spans="2:17" ht="11.25">
      <c r="B74" s="689"/>
      <c r="C74" s="690"/>
      <c r="D74" s="690"/>
      <c r="E74" s="690"/>
      <c r="F74" s="690"/>
      <c r="G74" s="690"/>
      <c r="H74" s="690"/>
      <c r="I74" s="212"/>
      <c r="J74" s="690"/>
      <c r="K74" s="690"/>
      <c r="L74" s="690"/>
      <c r="M74" s="690"/>
      <c r="N74" s="690"/>
      <c r="O74" s="690"/>
      <c r="P74" s="690"/>
      <c r="Q74" s="691"/>
    </row>
    <row r="75" spans="2:17" ht="24" customHeight="1">
      <c r="B75" s="689"/>
      <c r="C75" s="690"/>
      <c r="D75" s="690"/>
      <c r="E75" s="690"/>
      <c r="F75" s="690"/>
      <c r="G75" s="690"/>
      <c r="H75" s="690"/>
      <c r="I75" s="212"/>
      <c r="J75" s="690"/>
      <c r="K75" s="690"/>
      <c r="L75" s="690"/>
      <c r="M75" s="690"/>
      <c r="N75" s="690"/>
      <c r="O75" s="690"/>
      <c r="P75" s="690"/>
      <c r="Q75" s="691"/>
    </row>
    <row r="76" spans="2:17" ht="11.25">
      <c r="B76" s="245"/>
      <c r="C76" s="212"/>
      <c r="D76" s="212"/>
      <c r="E76" s="212"/>
      <c r="F76" s="212"/>
      <c r="G76" s="212"/>
      <c r="H76" s="212"/>
      <c r="I76" s="212"/>
      <c r="J76" s="212"/>
      <c r="K76" s="212"/>
      <c r="L76" s="212"/>
      <c r="M76" s="212"/>
      <c r="N76" s="212"/>
      <c r="O76" s="212"/>
      <c r="P76" s="212"/>
      <c r="Q76" s="246"/>
    </row>
    <row r="77" spans="2:17" ht="15.75">
      <c r="B77" s="227" t="s">
        <v>153</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07" t="s">
        <v>48</v>
      </c>
      <c r="D79" s="708"/>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46</v>
      </c>
      <c r="V79" s="212"/>
      <c r="W79" s="323"/>
      <c r="X79" s="323"/>
      <c r="Y79" s="323"/>
      <c r="Z79" s="323"/>
      <c r="AA79" s="323"/>
      <c r="AB79" s="323"/>
      <c r="AC79" s="323"/>
      <c r="AD79" s="323"/>
      <c r="AE79" s="323"/>
      <c r="AF79" s="323"/>
      <c r="AG79" s="323"/>
      <c r="AH79" s="323"/>
      <c r="AI79" s="293"/>
    </row>
    <row r="80" spans="2:35" ht="14.25">
      <c r="B80" s="704" t="s">
        <v>222</v>
      </c>
      <c r="C80" s="709" t="s">
        <v>50</v>
      </c>
      <c r="D80" s="710"/>
      <c r="E80" s="324">
        <v>3607.603484536546</v>
      </c>
      <c r="F80" s="325">
        <v>-46.35110715938116</v>
      </c>
      <c r="G80" s="325">
        <v>-109.433731594412</v>
      </c>
      <c r="H80" s="325">
        <v>-94.22009645196796</v>
      </c>
      <c r="I80" s="325">
        <v>-179.68800097073125</v>
      </c>
      <c r="J80" s="325">
        <v>-351.99025206624697</v>
      </c>
      <c r="K80" s="182">
        <v>-369.77</v>
      </c>
      <c r="L80" s="182">
        <v>-348.93</v>
      </c>
      <c r="M80" s="325">
        <v>-622.61</v>
      </c>
      <c r="N80" s="325"/>
      <c r="O80" s="325"/>
      <c r="P80" s="326"/>
      <c r="Q80" s="357">
        <f>SUM(E80:P80)</f>
        <v>1484.610296293807</v>
      </c>
      <c r="S80" s="327"/>
      <c r="V80" s="212"/>
      <c r="W80" s="328"/>
      <c r="X80" s="328"/>
      <c r="Y80" s="328"/>
      <c r="Z80" s="328"/>
      <c r="AA80" s="328"/>
      <c r="AB80" s="328"/>
      <c r="AC80" s="328"/>
      <c r="AD80" s="328"/>
      <c r="AE80" s="328"/>
      <c r="AF80" s="328"/>
      <c r="AG80" s="328"/>
      <c r="AH80" s="328"/>
      <c r="AI80" s="328"/>
    </row>
    <row r="81" spans="2:35" ht="15" thickBot="1">
      <c r="B81" s="705"/>
      <c r="C81" s="711" t="s">
        <v>49</v>
      </c>
      <c r="D81" s="712"/>
      <c r="E81" s="329">
        <v>3396.468421052631</v>
      </c>
      <c r="F81" s="182">
        <v>-134.2848373235122</v>
      </c>
      <c r="G81" s="182">
        <v>-255.78064252097423</v>
      </c>
      <c r="H81" s="182">
        <v>3303.236842105262</v>
      </c>
      <c r="I81" s="182">
        <v>3226.457894736842</v>
      </c>
      <c r="J81" s="182">
        <v>-722.5803151217515</v>
      </c>
      <c r="K81" s="182">
        <v>-2151.75</v>
      </c>
      <c r="L81" s="182">
        <v>-1736.11</v>
      </c>
      <c r="M81" s="182">
        <v>-1873.59</v>
      </c>
      <c r="N81" s="182"/>
      <c r="O81" s="182"/>
      <c r="P81" s="330"/>
      <c r="Q81" s="357">
        <f>SUM(E81:P81)</f>
        <v>3052.0673629284984</v>
      </c>
      <c r="V81" s="212"/>
      <c r="W81" s="328"/>
      <c r="X81" s="328"/>
      <c r="Y81" s="328"/>
      <c r="Z81" s="328"/>
      <c r="AA81" s="328"/>
      <c r="AB81" s="328"/>
      <c r="AC81" s="328"/>
      <c r="AD81" s="328"/>
      <c r="AE81" s="328"/>
      <c r="AF81" s="328"/>
      <c r="AG81" s="328"/>
      <c r="AH81" s="328"/>
      <c r="AI81" s="328"/>
    </row>
    <row r="82" spans="2:35" ht="15.75" thickBot="1">
      <c r="B82" s="705"/>
      <c r="C82" s="713" t="s">
        <v>116</v>
      </c>
      <c r="D82" s="714"/>
      <c r="E82" s="331">
        <f aca="true" t="shared" si="0" ref="E82:J82">SUM(E80:E81)</f>
        <v>7004.071905589177</v>
      </c>
      <c r="F82" s="332">
        <f t="shared" si="0"/>
        <v>-180.63594448289336</v>
      </c>
      <c r="G82" s="332">
        <f t="shared" si="0"/>
        <v>-365.21437411538625</v>
      </c>
      <c r="H82" s="332">
        <f t="shared" si="0"/>
        <v>3209.016745653294</v>
      </c>
      <c r="I82" s="332">
        <f t="shared" si="0"/>
        <v>3046.7698937661107</v>
      </c>
      <c r="J82" s="332">
        <f t="shared" si="0"/>
        <v>-1074.5705671879984</v>
      </c>
      <c r="K82" s="332">
        <f aca="true" t="shared" si="1" ref="K82:Q82">SUM(K80:K81)</f>
        <v>-2521.52</v>
      </c>
      <c r="L82" s="332">
        <f t="shared" si="1"/>
        <v>-2085.04</v>
      </c>
      <c r="M82" s="332">
        <f t="shared" si="1"/>
        <v>-2496.2</v>
      </c>
      <c r="N82" s="332">
        <f t="shared" si="1"/>
        <v>0</v>
      </c>
      <c r="O82" s="332">
        <f t="shared" si="1"/>
        <v>0</v>
      </c>
      <c r="P82" s="332">
        <f t="shared" si="1"/>
        <v>0</v>
      </c>
      <c r="Q82" s="358">
        <f t="shared" si="1"/>
        <v>4536.677659222305</v>
      </c>
      <c r="V82" s="212"/>
      <c r="W82" s="212"/>
      <c r="X82" s="212"/>
      <c r="Y82" s="212"/>
      <c r="Z82" s="212"/>
      <c r="AA82" s="212"/>
      <c r="AB82" s="212"/>
      <c r="AC82" s="212"/>
      <c r="AD82" s="212"/>
      <c r="AE82" s="212"/>
      <c r="AF82" s="212"/>
      <c r="AG82" s="212"/>
      <c r="AH82" s="212"/>
      <c r="AI82" s="212"/>
    </row>
    <row r="83" spans="2:35" ht="15">
      <c r="B83" s="705"/>
      <c r="C83" s="709" t="s">
        <v>117</v>
      </c>
      <c r="D83" s="710"/>
      <c r="E83" s="333">
        <f>E80</f>
        <v>3607.603484536546</v>
      </c>
      <c r="F83" s="333">
        <f>E83+F80</f>
        <v>3561.252377377165</v>
      </c>
      <c r="G83" s="333">
        <f>F83+G80</f>
        <v>3451.818645782753</v>
      </c>
      <c r="H83" s="333">
        <f aca="true" t="shared" si="2" ref="H83:J84">IF(H80="","",G83+H80)</f>
        <v>3357.598549330785</v>
      </c>
      <c r="I83" s="333">
        <f t="shared" si="2"/>
        <v>3177.910548360054</v>
      </c>
      <c r="J83" s="333">
        <f t="shared" si="2"/>
        <v>2825.920296293807</v>
      </c>
      <c r="K83" s="333">
        <f aca="true" t="shared" si="3" ref="K83:P84">IF(K80="","",J83+K80)</f>
        <v>2456.150296293807</v>
      </c>
      <c r="L83" s="333">
        <f t="shared" si="3"/>
        <v>2107.220296293807</v>
      </c>
      <c r="M83" s="333">
        <f t="shared" si="3"/>
        <v>1484.610296293807</v>
      </c>
      <c r="N83" s="333">
        <f t="shared" si="3"/>
      </c>
      <c r="O83" s="333">
        <f t="shared" si="3"/>
      </c>
      <c r="P83" s="333">
        <f t="shared" si="3"/>
      </c>
      <c r="Q83" s="359"/>
      <c r="S83" s="334"/>
      <c r="V83" s="212"/>
      <c r="W83" s="212"/>
      <c r="X83" s="212"/>
      <c r="Y83" s="212"/>
      <c r="Z83" s="212"/>
      <c r="AA83" s="212"/>
      <c r="AB83" s="212"/>
      <c r="AC83" s="212"/>
      <c r="AD83" s="212"/>
      <c r="AE83" s="212"/>
      <c r="AF83" s="212"/>
      <c r="AG83" s="212"/>
      <c r="AH83" s="212"/>
      <c r="AI83" s="212"/>
    </row>
    <row r="84" spans="2:35" ht="15.75" thickBot="1">
      <c r="B84" s="706"/>
      <c r="C84" s="711" t="s">
        <v>118</v>
      </c>
      <c r="D84" s="712"/>
      <c r="E84" s="310">
        <f>E81</f>
        <v>3396.468421052631</v>
      </c>
      <c r="F84" s="310">
        <f>E84+F81</f>
        <v>3262.183583729119</v>
      </c>
      <c r="G84" s="310">
        <f>F84+G81</f>
        <v>3006.402941208145</v>
      </c>
      <c r="H84" s="310">
        <f t="shared" si="2"/>
        <v>6309.639783313407</v>
      </c>
      <c r="I84" s="310">
        <f t="shared" si="2"/>
        <v>9536.09767805025</v>
      </c>
      <c r="J84" s="310">
        <f t="shared" si="2"/>
        <v>8813.517362928498</v>
      </c>
      <c r="K84" s="310">
        <f t="shared" si="3"/>
        <v>6661.767362928498</v>
      </c>
      <c r="L84" s="310">
        <f t="shared" si="3"/>
        <v>4925.6573629284985</v>
      </c>
      <c r="M84" s="310">
        <f t="shared" si="3"/>
        <v>3052.0673629284984</v>
      </c>
      <c r="N84" s="310">
        <f t="shared" si="3"/>
      </c>
      <c r="O84" s="310">
        <f t="shared" si="3"/>
      </c>
      <c r="P84" s="310">
        <f t="shared" si="3"/>
      </c>
      <c r="Q84" s="360"/>
      <c r="S84" s="334"/>
      <c r="V84" s="212"/>
      <c r="W84" s="212"/>
      <c r="X84" s="212"/>
      <c r="Y84" s="212"/>
      <c r="Z84" s="212"/>
      <c r="AA84" s="212"/>
      <c r="AB84" s="212"/>
      <c r="AC84" s="212"/>
      <c r="AD84" s="212"/>
      <c r="AE84" s="212"/>
      <c r="AF84" s="212"/>
      <c r="AG84" s="212"/>
      <c r="AH84" s="212"/>
      <c r="AI84" s="212"/>
    </row>
    <row r="85" spans="2:17" ht="14.25">
      <c r="B85" s="703" t="s">
        <v>71</v>
      </c>
      <c r="C85" s="715" t="s">
        <v>52</v>
      </c>
      <c r="D85" s="716"/>
      <c r="E85" s="324">
        <v>440</v>
      </c>
      <c r="F85" s="325">
        <v>1053</v>
      </c>
      <c r="G85" s="325">
        <v>1894</v>
      </c>
      <c r="H85" s="325">
        <v>1467</v>
      </c>
      <c r="I85" s="325">
        <v>2493</v>
      </c>
      <c r="J85" s="325">
        <v>3759</v>
      </c>
      <c r="K85" s="325">
        <v>3722</v>
      </c>
      <c r="L85" s="325">
        <v>3749</v>
      </c>
      <c r="M85" s="325">
        <v>5523</v>
      </c>
      <c r="N85" s="325"/>
      <c r="O85" s="325"/>
      <c r="P85" s="326"/>
      <c r="Q85" s="359">
        <f>SUM(E85:P85)</f>
        <v>24100</v>
      </c>
    </row>
    <row r="86" spans="2:17" ht="14.25">
      <c r="B86" s="701"/>
      <c r="C86" s="717" t="s">
        <v>53</v>
      </c>
      <c r="D86" s="718"/>
      <c r="E86" s="335">
        <v>13</v>
      </c>
      <c r="F86" s="289">
        <v>200</v>
      </c>
      <c r="G86" s="289">
        <v>104</v>
      </c>
      <c r="H86" s="289">
        <v>281</v>
      </c>
      <c r="I86" s="289">
        <v>274</v>
      </c>
      <c r="J86" s="289">
        <v>573</v>
      </c>
      <c r="K86" s="289">
        <v>721</v>
      </c>
      <c r="L86" s="289">
        <v>407</v>
      </c>
      <c r="M86" s="289">
        <v>944</v>
      </c>
      <c r="N86" s="289"/>
      <c r="O86" s="289"/>
      <c r="P86" s="336"/>
      <c r="Q86" s="360">
        <f>SUM(E86:P86)</f>
        <v>3517</v>
      </c>
    </row>
    <row r="87" spans="2:17" ht="14.25">
      <c r="B87" s="701"/>
      <c r="C87" s="717" t="s">
        <v>54</v>
      </c>
      <c r="D87" s="718"/>
      <c r="E87" s="335">
        <v>32</v>
      </c>
      <c r="F87" s="289">
        <v>217</v>
      </c>
      <c r="G87" s="289">
        <v>126</v>
      </c>
      <c r="H87" s="289">
        <v>272</v>
      </c>
      <c r="I87" s="289">
        <v>235</v>
      </c>
      <c r="J87" s="289">
        <v>489</v>
      </c>
      <c r="K87" s="289">
        <v>743</v>
      </c>
      <c r="L87" s="289">
        <v>631</v>
      </c>
      <c r="M87" s="289">
        <v>1624</v>
      </c>
      <c r="N87" s="289"/>
      <c r="O87" s="289"/>
      <c r="P87" s="336"/>
      <c r="Q87" s="360">
        <f>SUM(E87:P87)</f>
        <v>4369</v>
      </c>
    </row>
    <row r="88" spans="2:17" ht="14.25">
      <c r="B88" s="701"/>
      <c r="C88" s="717" t="s">
        <v>229</v>
      </c>
      <c r="D88" s="718"/>
      <c r="E88" s="337">
        <f>AVERAGE(E85:E87)</f>
        <v>161.66666666666666</v>
      </c>
      <c r="F88" s="338">
        <f aca="true" t="shared" si="4" ref="F88:K88">IF(F85="","",AVERAGE(F85:F87))</f>
        <v>490</v>
      </c>
      <c r="G88" s="338">
        <f t="shared" si="4"/>
        <v>708</v>
      </c>
      <c r="H88" s="338">
        <f t="shared" si="4"/>
        <v>673.3333333333334</v>
      </c>
      <c r="I88" s="338">
        <f t="shared" si="4"/>
        <v>1000.6666666666666</v>
      </c>
      <c r="J88" s="338">
        <f t="shared" si="4"/>
        <v>1607</v>
      </c>
      <c r="K88" s="338">
        <f t="shared" si="4"/>
        <v>1728.6666666666667</v>
      </c>
      <c r="L88" s="338">
        <f>IF(L85="","",AVERAGE(L85:L87))</f>
        <v>1595.6666666666667</v>
      </c>
      <c r="M88" s="338">
        <f>IF(M85="","",AVERAGE(M85:M87))</f>
        <v>2697</v>
      </c>
      <c r="N88" s="338">
        <f>IF(N85="","",AVERAGE(N85:N87))</f>
      </c>
      <c r="O88" s="338">
        <f>IF(O85="","",AVERAGE(O85:O87))</f>
      </c>
      <c r="P88" s="338">
        <f>IF(P85="","",AVERAGE(P85:P87))</f>
      </c>
      <c r="Q88" s="360"/>
    </row>
    <row r="89" spans="2:17" ht="15" thickBot="1">
      <c r="B89" s="702"/>
      <c r="C89" s="711" t="s">
        <v>167</v>
      </c>
      <c r="D89" s="712"/>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701" t="s">
        <v>51</v>
      </c>
      <c r="C90" s="715" t="s">
        <v>55</v>
      </c>
      <c r="D90" s="716"/>
      <c r="E90" s="342">
        <v>0.751</v>
      </c>
      <c r="F90" s="343">
        <v>0.742</v>
      </c>
      <c r="G90" s="343">
        <v>0.739</v>
      </c>
      <c r="H90" s="343">
        <v>0.769</v>
      </c>
      <c r="I90" s="343">
        <v>0.77</v>
      </c>
      <c r="J90" s="343">
        <v>0.637</v>
      </c>
      <c r="K90" s="343">
        <v>0.55</v>
      </c>
      <c r="L90" s="343">
        <v>0.592</v>
      </c>
      <c r="M90" s="343">
        <v>0.608</v>
      </c>
      <c r="N90" s="343"/>
      <c r="O90" s="343"/>
      <c r="P90" s="343"/>
      <c r="Q90" s="362">
        <f>AVERAGE(E90:P90)</f>
        <v>0.6842222222222221</v>
      </c>
    </row>
    <row r="91" spans="2:17" ht="14.25">
      <c r="B91" s="701"/>
      <c r="C91" s="717" t="s">
        <v>56</v>
      </c>
      <c r="D91" s="718"/>
      <c r="E91" s="342">
        <v>0.986</v>
      </c>
      <c r="F91" s="343">
        <v>0.867</v>
      </c>
      <c r="G91" s="343">
        <v>0.844</v>
      </c>
      <c r="H91" s="343">
        <v>0.958</v>
      </c>
      <c r="I91" s="343">
        <v>0.947</v>
      </c>
      <c r="J91" s="343">
        <v>0.904</v>
      </c>
      <c r="K91" s="343">
        <v>0.636</v>
      </c>
      <c r="L91" s="343">
        <v>0.601</v>
      </c>
      <c r="M91" s="343">
        <v>0.581</v>
      </c>
      <c r="N91" s="343"/>
      <c r="O91" s="343"/>
      <c r="P91" s="343"/>
      <c r="Q91" s="362">
        <f>AVERAGE(E91:P91)</f>
        <v>0.8137777777777777</v>
      </c>
    </row>
    <row r="92" spans="2:17" ht="14.25">
      <c r="B92" s="701"/>
      <c r="C92" s="717" t="s">
        <v>57</v>
      </c>
      <c r="D92" s="718"/>
      <c r="E92" s="342">
        <v>0.993</v>
      </c>
      <c r="F92" s="343">
        <v>0.98</v>
      </c>
      <c r="G92" s="343">
        <v>0.979</v>
      </c>
      <c r="H92" s="343">
        <v>0.974</v>
      </c>
      <c r="I92" s="343">
        <v>0.962</v>
      </c>
      <c r="J92" s="343">
        <v>0.886</v>
      </c>
      <c r="K92" s="343">
        <v>0.831</v>
      </c>
      <c r="L92" s="343">
        <v>0.917</v>
      </c>
      <c r="M92" s="343">
        <v>0.867</v>
      </c>
      <c r="N92" s="343"/>
      <c r="O92" s="343"/>
      <c r="P92" s="343"/>
      <c r="Q92" s="362">
        <f>AVERAGE(E92:P92)</f>
        <v>0.932111111111111</v>
      </c>
    </row>
    <row r="93" spans="2:17" ht="14.25">
      <c r="B93" s="701"/>
      <c r="C93" s="717" t="s">
        <v>58</v>
      </c>
      <c r="D93" s="718"/>
      <c r="E93" s="342">
        <v>0.989</v>
      </c>
      <c r="F93" s="343">
        <v>0.989</v>
      </c>
      <c r="G93" s="343">
        <v>0.978</v>
      </c>
      <c r="H93" s="343">
        <v>0.984</v>
      </c>
      <c r="I93" s="343">
        <v>0.978</v>
      </c>
      <c r="J93" s="343">
        <v>0.967</v>
      </c>
      <c r="K93" s="343">
        <v>0.93</v>
      </c>
      <c r="L93" s="343">
        <v>0.967</v>
      </c>
      <c r="M93" s="343">
        <v>0.978</v>
      </c>
      <c r="N93" s="343"/>
      <c r="O93" s="343"/>
      <c r="P93" s="343"/>
      <c r="Q93" s="362">
        <f>AVERAGE(E93:P93)</f>
        <v>0.9733333333333333</v>
      </c>
    </row>
    <row r="94" spans="2:17" ht="14.25">
      <c r="B94" s="701"/>
      <c r="C94" s="717" t="s">
        <v>166</v>
      </c>
      <c r="D94" s="718"/>
      <c r="E94" s="344">
        <f>AVERAGE(E90:E93)</f>
        <v>0.92975</v>
      </c>
      <c r="F94" s="345">
        <f aca="true" t="shared" si="5" ref="F94:K94">IF(F90="","",AVERAGE(F90:F93))</f>
        <v>0.8945</v>
      </c>
      <c r="G94" s="345">
        <f t="shared" si="5"/>
        <v>0.885</v>
      </c>
      <c r="H94" s="345">
        <f t="shared" si="5"/>
        <v>0.9212499999999999</v>
      </c>
      <c r="I94" s="345">
        <f t="shared" si="5"/>
        <v>0.91425</v>
      </c>
      <c r="J94" s="345">
        <f t="shared" si="5"/>
        <v>0.8485</v>
      </c>
      <c r="K94" s="345">
        <f t="shared" si="5"/>
        <v>0.73675</v>
      </c>
      <c r="L94" s="345">
        <f>IF(L90="","",AVERAGE(L90:L93))</f>
        <v>0.7692500000000001</v>
      </c>
      <c r="M94" s="345">
        <f>IF(M90="","",AVERAGE(M90:M93))</f>
        <v>0.7585</v>
      </c>
      <c r="N94" s="345">
        <f>IF(N90="","",AVERAGE(N90:N93))</f>
      </c>
      <c r="O94" s="345">
        <f>IF(O90="","",AVERAGE(O90:O93))</f>
      </c>
      <c r="P94" s="345">
        <f>IF(P90="","",AVERAGE(P90:P93))</f>
      </c>
      <c r="Q94" s="363"/>
    </row>
    <row r="95" spans="2:17" ht="15" thickBot="1">
      <c r="B95" s="702"/>
      <c r="C95" s="711" t="s">
        <v>170</v>
      </c>
      <c r="D95" s="712"/>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D11:F11"/>
    <mergeCell ref="D12:F12"/>
    <mergeCell ref="J19:Q34"/>
    <mergeCell ref="J15:Q15"/>
    <mergeCell ref="J16:Q16"/>
    <mergeCell ref="J17:Q17"/>
    <mergeCell ref="C6:Q6"/>
    <mergeCell ref="D8:F8"/>
    <mergeCell ref="D9:F9"/>
    <mergeCell ref="G8:I8"/>
    <mergeCell ref="G9:I9"/>
    <mergeCell ref="C88:D88"/>
    <mergeCell ref="C89:D89"/>
    <mergeCell ref="J8:L8"/>
    <mergeCell ref="J9:L9"/>
    <mergeCell ref="G11:I11"/>
    <mergeCell ref="G12:I12"/>
    <mergeCell ref="J11:L11"/>
    <mergeCell ref="J12:L12"/>
    <mergeCell ref="B63:H75"/>
    <mergeCell ref="J63:Q75"/>
    <mergeCell ref="C85:D85"/>
    <mergeCell ref="C86:D86"/>
    <mergeCell ref="C95:D95"/>
    <mergeCell ref="M11:O11"/>
    <mergeCell ref="M12:O12"/>
    <mergeCell ref="C91:D91"/>
    <mergeCell ref="C92:D92"/>
    <mergeCell ref="C93:D93"/>
    <mergeCell ref="C94:D94"/>
    <mergeCell ref="C87:D87"/>
    <mergeCell ref="B90:B95"/>
    <mergeCell ref="B85:B89"/>
    <mergeCell ref="B80:B84"/>
    <mergeCell ref="C79:D79"/>
    <mergeCell ref="C80:D80"/>
    <mergeCell ref="C81:D81"/>
    <mergeCell ref="C82:D82"/>
    <mergeCell ref="C90:D90"/>
    <mergeCell ref="C83:D83"/>
    <mergeCell ref="C84:D84"/>
  </mergeCells>
  <printOptions/>
  <pageMargins left="0.75" right="0.75" top="0.55" bottom="0.62" header="0.5" footer="0.5"/>
  <pageSetup fitToHeight="1" fitToWidth="1" horizontalDpi="600" verticalDpi="600" orientation="portrait" paperSize="8" scale="54"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B1">
      <selection activeCell="B116" sqref="B116:O116"/>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9.42187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234</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154</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70</v>
      </c>
      <c r="C6" s="742" t="s">
        <v>285</v>
      </c>
      <c r="D6" s="743"/>
      <c r="E6" s="743"/>
      <c r="F6" s="743"/>
      <c r="G6" s="743"/>
      <c r="H6" s="743"/>
      <c r="I6" s="743"/>
      <c r="J6" s="743"/>
      <c r="K6" s="743"/>
      <c r="L6" s="743"/>
      <c r="M6" s="743"/>
      <c r="N6" s="743"/>
      <c r="O6" s="744"/>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45" t="s">
        <v>159</v>
      </c>
      <c r="I9" s="746"/>
      <c r="J9" s="746"/>
      <c r="K9" s="746"/>
      <c r="L9" s="746"/>
      <c r="M9" s="746"/>
      <c r="N9" s="746"/>
      <c r="O9" s="747"/>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48" t="s">
        <v>212</v>
      </c>
      <c r="I11" s="749"/>
      <c r="J11" s="749"/>
      <c r="K11" s="749"/>
      <c r="L11" s="749"/>
      <c r="M11" s="749"/>
      <c r="N11" s="749"/>
      <c r="O11" s="750"/>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51" t="s">
        <v>287</v>
      </c>
      <c r="I13" s="752"/>
      <c r="J13" s="752"/>
      <c r="K13" s="752"/>
      <c r="L13" s="752"/>
      <c r="M13" s="752"/>
      <c r="N13" s="752"/>
      <c r="O13" s="753"/>
      <c r="P13" s="373"/>
      <c r="Q13" s="369"/>
      <c r="R13" s="368"/>
    </row>
    <row r="14" spans="1:18" ht="12.75" customHeight="1">
      <c r="A14" s="368"/>
      <c r="B14" s="447"/>
      <c r="C14" s="372"/>
      <c r="D14" s="372"/>
      <c r="E14" s="372"/>
      <c r="F14" s="372"/>
      <c r="G14" s="372"/>
      <c r="H14" s="751"/>
      <c r="I14" s="752"/>
      <c r="J14" s="752"/>
      <c r="K14" s="752"/>
      <c r="L14" s="752"/>
      <c r="M14" s="752"/>
      <c r="N14" s="752"/>
      <c r="O14" s="753"/>
      <c r="P14" s="373"/>
      <c r="Q14" s="369"/>
      <c r="R14" s="368"/>
    </row>
    <row r="15" spans="1:18" ht="12.75">
      <c r="A15" s="368"/>
      <c r="B15" s="447"/>
      <c r="C15" s="372"/>
      <c r="D15" s="372"/>
      <c r="E15" s="372"/>
      <c r="F15" s="372"/>
      <c r="G15" s="372"/>
      <c r="H15" s="751"/>
      <c r="I15" s="752"/>
      <c r="J15" s="752"/>
      <c r="K15" s="752"/>
      <c r="L15" s="752"/>
      <c r="M15" s="752"/>
      <c r="N15" s="752"/>
      <c r="O15" s="753"/>
      <c r="P15" s="373"/>
      <c r="Q15" s="369"/>
      <c r="R15" s="368"/>
    </row>
    <row r="16" spans="1:18" ht="12.75">
      <c r="A16" s="368"/>
      <c r="B16" s="447"/>
      <c r="C16" s="372"/>
      <c r="D16" s="372"/>
      <c r="E16" s="372"/>
      <c r="F16" s="372"/>
      <c r="G16" s="372"/>
      <c r="H16" s="751"/>
      <c r="I16" s="752"/>
      <c r="J16" s="752"/>
      <c r="K16" s="752"/>
      <c r="L16" s="752"/>
      <c r="M16" s="752"/>
      <c r="N16" s="752"/>
      <c r="O16" s="753"/>
      <c r="P16" s="373"/>
      <c r="Q16" s="369"/>
      <c r="R16" s="368"/>
    </row>
    <row r="17" spans="1:18" ht="12.75">
      <c r="A17" s="368"/>
      <c r="B17" s="447"/>
      <c r="C17" s="372"/>
      <c r="D17" s="372"/>
      <c r="E17" s="372"/>
      <c r="F17" s="372"/>
      <c r="G17" s="372"/>
      <c r="H17" s="751"/>
      <c r="I17" s="752"/>
      <c r="J17" s="752"/>
      <c r="K17" s="752"/>
      <c r="L17" s="752"/>
      <c r="M17" s="752"/>
      <c r="N17" s="752"/>
      <c r="O17" s="753"/>
      <c r="P17" s="373"/>
      <c r="Q17" s="369"/>
      <c r="R17" s="368"/>
    </row>
    <row r="18" spans="1:18" ht="12.75">
      <c r="A18" s="368"/>
      <c r="B18" s="447"/>
      <c r="C18" s="372"/>
      <c r="D18" s="372"/>
      <c r="E18" s="372"/>
      <c r="F18" s="372"/>
      <c r="G18" s="372"/>
      <c r="H18" s="751"/>
      <c r="I18" s="752"/>
      <c r="J18" s="752"/>
      <c r="K18" s="752"/>
      <c r="L18" s="752"/>
      <c r="M18" s="752"/>
      <c r="N18" s="752"/>
      <c r="O18" s="753"/>
      <c r="P18" s="373"/>
      <c r="Q18" s="369"/>
      <c r="R18" s="368"/>
    </row>
    <row r="19" spans="1:18" ht="12.75">
      <c r="A19" s="368"/>
      <c r="B19" s="447"/>
      <c r="C19" s="372"/>
      <c r="D19" s="372"/>
      <c r="E19" s="372"/>
      <c r="F19" s="372"/>
      <c r="G19" s="372"/>
      <c r="H19" s="751"/>
      <c r="I19" s="752"/>
      <c r="J19" s="752"/>
      <c r="K19" s="752"/>
      <c r="L19" s="752"/>
      <c r="M19" s="752"/>
      <c r="N19" s="752"/>
      <c r="O19" s="753"/>
      <c r="P19" s="373"/>
      <c r="Q19" s="369"/>
      <c r="R19" s="368"/>
    </row>
    <row r="20" spans="1:17" ht="12.75">
      <c r="A20" s="368"/>
      <c r="B20" s="447"/>
      <c r="C20" s="372"/>
      <c r="D20" s="372"/>
      <c r="E20" s="372"/>
      <c r="F20" s="372"/>
      <c r="G20" s="372"/>
      <c r="H20" s="751"/>
      <c r="I20" s="752"/>
      <c r="J20" s="752"/>
      <c r="K20" s="752"/>
      <c r="L20" s="752"/>
      <c r="M20" s="752"/>
      <c r="N20" s="752"/>
      <c r="O20" s="753"/>
      <c r="P20" s="369"/>
      <c r="Q20" s="368"/>
    </row>
    <row r="21" spans="1:17" ht="12.75">
      <c r="A21" s="368"/>
      <c r="B21" s="447"/>
      <c r="C21" s="372"/>
      <c r="D21" s="372"/>
      <c r="E21" s="372"/>
      <c r="F21" s="372"/>
      <c r="G21" s="372"/>
      <c r="H21" s="751"/>
      <c r="I21" s="752"/>
      <c r="J21" s="752"/>
      <c r="K21" s="752"/>
      <c r="L21" s="752"/>
      <c r="M21" s="752"/>
      <c r="N21" s="752"/>
      <c r="O21" s="753"/>
      <c r="P21" s="369"/>
      <c r="Q21" s="368"/>
    </row>
    <row r="22" spans="1:17" ht="12.75">
      <c r="A22" s="368"/>
      <c r="B22" s="447"/>
      <c r="C22" s="372"/>
      <c r="D22" s="372"/>
      <c r="E22" s="372"/>
      <c r="F22" s="372"/>
      <c r="G22" s="372"/>
      <c r="H22" s="751"/>
      <c r="I22" s="752"/>
      <c r="J22" s="752"/>
      <c r="K22" s="752"/>
      <c r="L22" s="752"/>
      <c r="M22" s="752"/>
      <c r="N22" s="752"/>
      <c r="O22" s="753"/>
      <c r="P22" s="369"/>
      <c r="Q22" s="368"/>
    </row>
    <row r="23" spans="1:17" ht="12.75">
      <c r="A23" s="368"/>
      <c r="B23" s="447"/>
      <c r="C23" s="372"/>
      <c r="D23" s="372"/>
      <c r="E23" s="372"/>
      <c r="F23" s="372"/>
      <c r="G23" s="372"/>
      <c r="H23" s="751"/>
      <c r="I23" s="752"/>
      <c r="J23" s="752"/>
      <c r="K23" s="752"/>
      <c r="L23" s="752"/>
      <c r="M23" s="752"/>
      <c r="N23" s="752"/>
      <c r="O23" s="753"/>
      <c r="P23" s="369"/>
      <c r="Q23" s="368"/>
    </row>
    <row r="24" spans="1:17" ht="12.75">
      <c r="A24" s="368"/>
      <c r="B24" s="447"/>
      <c r="C24" s="372"/>
      <c r="D24" s="372"/>
      <c r="E24" s="372"/>
      <c r="F24" s="372"/>
      <c r="G24" s="372"/>
      <c r="H24" s="751"/>
      <c r="I24" s="752"/>
      <c r="J24" s="752"/>
      <c r="K24" s="752"/>
      <c r="L24" s="752"/>
      <c r="M24" s="752"/>
      <c r="N24" s="752"/>
      <c r="O24" s="753"/>
      <c r="P24" s="369"/>
      <c r="Q24" s="368"/>
    </row>
    <row r="25" spans="1:17" ht="12.75">
      <c r="A25" s="368"/>
      <c r="B25" s="447"/>
      <c r="C25" s="372"/>
      <c r="D25" s="372"/>
      <c r="E25" s="372"/>
      <c r="F25" s="372"/>
      <c r="G25" s="372"/>
      <c r="H25" s="751"/>
      <c r="I25" s="752"/>
      <c r="J25" s="752"/>
      <c r="K25" s="752"/>
      <c r="L25" s="752"/>
      <c r="M25" s="752"/>
      <c r="N25" s="752"/>
      <c r="O25" s="753"/>
      <c r="P25" s="369"/>
      <c r="Q25" s="368"/>
    </row>
    <row r="26" spans="1:17" ht="12.75">
      <c r="A26" s="368"/>
      <c r="B26" s="447"/>
      <c r="C26" s="372"/>
      <c r="D26" s="372"/>
      <c r="E26" s="372"/>
      <c r="F26" s="372"/>
      <c r="G26" s="372"/>
      <c r="H26" s="754"/>
      <c r="I26" s="755"/>
      <c r="J26" s="755"/>
      <c r="K26" s="755"/>
      <c r="L26" s="755"/>
      <c r="M26" s="755"/>
      <c r="N26" s="755"/>
      <c r="O26" s="756"/>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152</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36" t="s">
        <v>235</v>
      </c>
      <c r="C31" s="738" t="s">
        <v>236</v>
      </c>
      <c r="D31" s="739"/>
      <c r="E31" s="740"/>
      <c r="F31" s="738" t="s">
        <v>237</v>
      </c>
      <c r="G31" s="739"/>
      <c r="H31" s="741"/>
      <c r="I31" s="738" t="s">
        <v>238</v>
      </c>
      <c r="J31" s="739"/>
      <c r="K31" s="741"/>
      <c r="L31" s="738" t="s">
        <v>239</v>
      </c>
      <c r="M31" s="739"/>
      <c r="N31" s="740"/>
      <c r="O31" s="451"/>
      <c r="P31" s="369"/>
      <c r="Q31" s="368"/>
    </row>
    <row r="32" spans="1:17" ht="15.75" thickBot="1">
      <c r="A32" s="368"/>
      <c r="B32" s="737"/>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46</v>
      </c>
      <c r="P32" s="369"/>
      <c r="Q32" s="368"/>
    </row>
    <row r="33" spans="1:17" ht="14.25">
      <c r="A33" s="368"/>
      <c r="B33" s="453" t="s">
        <v>240</v>
      </c>
      <c r="C33" s="454">
        <v>13.27321278084369</v>
      </c>
      <c r="D33" s="454">
        <v>11.190802292373585</v>
      </c>
      <c r="E33" s="380">
        <v>8.549954613712199</v>
      </c>
      <c r="F33" s="454">
        <v>7.095133593615319</v>
      </c>
      <c r="G33" s="454">
        <v>6.357005997597908</v>
      </c>
      <c r="H33" s="380">
        <v>-6.7355678750383134</v>
      </c>
      <c r="I33" s="454">
        <v>8.875927698174994</v>
      </c>
      <c r="J33" s="454">
        <v>10.619431759896235</v>
      </c>
      <c r="K33" s="380">
        <v>11.14940286753072</v>
      </c>
      <c r="L33" s="454"/>
      <c r="M33" s="454"/>
      <c r="N33" s="454"/>
      <c r="O33" s="455"/>
      <c r="P33" s="369"/>
      <c r="Q33" s="368"/>
    </row>
    <row r="34" spans="1:17" ht="14.25">
      <c r="A34" s="368"/>
      <c r="B34" s="456" t="s">
        <v>241</v>
      </c>
      <c r="C34" s="457">
        <f>C33</f>
        <v>13.27321278084369</v>
      </c>
      <c r="D34" s="457">
        <f aca="true" t="shared" si="0" ref="D34:N34">IF(D33&gt;0,C34+D33,"")</f>
        <v>24.464015073217276</v>
      </c>
      <c r="E34" s="457">
        <f t="shared" si="0"/>
        <v>33.01396968692947</v>
      </c>
      <c r="F34" s="381">
        <f t="shared" si="0"/>
        <v>40.10910328054479</v>
      </c>
      <c r="G34" s="457">
        <f t="shared" si="0"/>
        <v>46.466109278142696</v>
      </c>
      <c r="H34" s="457">
        <f>G34+H33</f>
        <v>39.73054140310438</v>
      </c>
      <c r="I34" s="381">
        <f t="shared" si="0"/>
        <v>48.60646910127937</v>
      </c>
      <c r="J34" s="457">
        <f t="shared" si="0"/>
        <v>59.22590086117561</v>
      </c>
      <c r="K34" s="457">
        <f t="shared" si="0"/>
        <v>70.37530372870633</v>
      </c>
      <c r="L34" s="381">
        <f t="shared" si="0"/>
      </c>
      <c r="M34" s="457">
        <f t="shared" si="0"/>
      </c>
      <c r="N34" s="457">
        <f t="shared" si="0"/>
      </c>
      <c r="O34" s="458"/>
      <c r="P34" s="369"/>
      <c r="Q34" s="368"/>
    </row>
    <row r="35" spans="1:17" ht="14.25">
      <c r="A35" s="368"/>
      <c r="B35" s="456" t="s">
        <v>242</v>
      </c>
      <c r="C35" s="454"/>
      <c r="D35" s="454"/>
      <c r="E35" s="382">
        <v>33.897742959507184</v>
      </c>
      <c r="F35" s="454"/>
      <c r="G35" s="454"/>
      <c r="H35" s="382">
        <v>16.821571562085644</v>
      </c>
      <c r="I35" s="383"/>
      <c r="J35" s="454"/>
      <c r="K35" s="382">
        <v>38.724806803399</v>
      </c>
      <c r="L35" s="454"/>
      <c r="M35" s="454"/>
      <c r="N35" s="382">
        <v>38.3806022323335</v>
      </c>
      <c r="O35" s="459">
        <f>N36</f>
        <v>127.82472355732533</v>
      </c>
      <c r="P35" s="369"/>
      <c r="Q35" s="368"/>
    </row>
    <row r="36" spans="1:17" ht="14.25">
      <c r="A36" s="368"/>
      <c r="B36" s="456" t="s">
        <v>249</v>
      </c>
      <c r="C36" s="384">
        <f>E36/3</f>
        <v>11.299247653169061</v>
      </c>
      <c r="D36" s="384">
        <f>C36*2</f>
        <v>22.598495306338123</v>
      </c>
      <c r="E36" s="385">
        <f>E35</f>
        <v>33.897742959507184</v>
      </c>
      <c r="F36" s="384">
        <f>SUM(E36+$H$35/3)</f>
        <v>39.504933480202396</v>
      </c>
      <c r="G36" s="384">
        <f>SUM(F36+$H$35/3)</f>
        <v>45.11212400089761</v>
      </c>
      <c r="H36" s="385">
        <f>(E36+H35)</f>
        <v>50.71931452159283</v>
      </c>
      <c r="I36" s="384">
        <f>SUM(H36+$K$35/3)</f>
        <v>63.62758345605916</v>
      </c>
      <c r="J36" s="384">
        <f>SUM(I36+$K$35/3)</f>
        <v>76.53585239052549</v>
      </c>
      <c r="K36" s="385">
        <f>(H36+K35)</f>
        <v>89.44412132499183</v>
      </c>
      <c r="L36" s="384">
        <f>SUM(K36+$N$35/3)</f>
        <v>102.23765540243633</v>
      </c>
      <c r="M36" s="384">
        <f>SUM(L36+$N$35/3)</f>
        <v>115.03118947988084</v>
      </c>
      <c r="N36" s="385">
        <f>(K36+N35)</f>
        <v>127.82472355732533</v>
      </c>
      <c r="O36" s="458"/>
      <c r="P36" s="369"/>
      <c r="Q36" s="368"/>
    </row>
    <row r="37" spans="1:17" ht="14.25">
      <c r="A37" s="368"/>
      <c r="B37" s="456" t="s">
        <v>250</v>
      </c>
      <c r="C37" s="384">
        <f>(E37/3)</f>
        <v>12.965914319835727</v>
      </c>
      <c r="D37" s="384">
        <f>(C37*2)</f>
        <v>25.931828639671455</v>
      </c>
      <c r="E37" s="385">
        <f>(E36+5)</f>
        <v>38.897742959507184</v>
      </c>
      <c r="F37" s="384">
        <f>(E37+(H37-E37)/3)</f>
        <v>46.17160014686907</v>
      </c>
      <c r="G37" s="384">
        <f>E37+(H37-E37)*2/3</f>
        <v>53.445457334230944</v>
      </c>
      <c r="H37" s="385">
        <f>(H36+10)</f>
        <v>60.71931452159283</v>
      </c>
      <c r="I37" s="384">
        <f>(H37+(K37-H37)/3)</f>
        <v>75.29425012272583</v>
      </c>
      <c r="J37" s="384">
        <f>(H37+(K37-H37)*2/3)</f>
        <v>89.86918572385883</v>
      </c>
      <c r="K37" s="385">
        <f>(K36+15)</f>
        <v>104.44412132499183</v>
      </c>
      <c r="L37" s="384">
        <f>(K37+(N37-K37)/3)</f>
        <v>118.904322069103</v>
      </c>
      <c r="M37" s="384">
        <f>(K37+(N37-K37)*2/3)</f>
        <v>133.36452281321417</v>
      </c>
      <c r="N37" s="385">
        <f>(N36+20)</f>
        <v>147.82472355732534</v>
      </c>
      <c r="O37" s="458"/>
      <c r="P37" s="369"/>
      <c r="Q37" s="368"/>
    </row>
    <row r="38" spans="1:17" ht="15" thickBot="1">
      <c r="A38" s="368"/>
      <c r="B38" s="460" t="s">
        <v>251</v>
      </c>
      <c r="C38" s="386">
        <f>E38/3</f>
        <v>9.632580986502395</v>
      </c>
      <c r="D38" s="386">
        <f>C38*2</f>
        <v>19.26516197300479</v>
      </c>
      <c r="E38" s="387">
        <f>(E36-5)</f>
        <v>28.897742959507184</v>
      </c>
      <c r="F38" s="386">
        <f>E38+(H38-E38)/3</f>
        <v>32.83826681353573</v>
      </c>
      <c r="G38" s="386">
        <f>E38+(H38-E38)*2/3</f>
        <v>36.77879066756428</v>
      </c>
      <c r="H38" s="387">
        <f>(H36-10)</f>
        <v>40.71931452159283</v>
      </c>
      <c r="I38" s="386">
        <f>H38+(K38-H38)/3</f>
        <v>51.96091678939249</v>
      </c>
      <c r="J38" s="386">
        <f>H38+(K38-H38)*2/3</f>
        <v>63.20251905719216</v>
      </c>
      <c r="K38" s="387">
        <f>(K36-15)</f>
        <v>74.44412132499183</v>
      </c>
      <c r="L38" s="386">
        <f>K38+(N38-K38)/3</f>
        <v>85.57098873576966</v>
      </c>
      <c r="M38" s="386">
        <f>K38+(N38-K38)*2/3</f>
        <v>96.6978561465475</v>
      </c>
      <c r="N38" s="387">
        <f>(N36-20)</f>
        <v>107.82472355732533</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57" t="s">
        <v>13</v>
      </c>
      <c r="C70" s="758"/>
      <c r="D70" s="758"/>
      <c r="E70" s="758"/>
      <c r="F70" s="758"/>
      <c r="G70" s="758"/>
      <c r="H70" s="758"/>
      <c r="I70" s="758"/>
      <c r="J70" s="758"/>
      <c r="K70" s="758"/>
      <c r="L70" s="758"/>
      <c r="M70" s="758"/>
      <c r="N70" s="758"/>
      <c r="O70" s="759"/>
      <c r="P70" s="369"/>
      <c r="Q70" s="368"/>
    </row>
    <row r="71" spans="1:17" ht="12.75" customHeight="1">
      <c r="A71" s="368"/>
      <c r="B71" s="757"/>
      <c r="C71" s="758"/>
      <c r="D71" s="758"/>
      <c r="E71" s="758"/>
      <c r="F71" s="758"/>
      <c r="G71" s="758"/>
      <c r="H71" s="758"/>
      <c r="I71" s="758"/>
      <c r="J71" s="758"/>
      <c r="K71" s="758"/>
      <c r="L71" s="758"/>
      <c r="M71" s="758"/>
      <c r="N71" s="758"/>
      <c r="O71" s="759"/>
      <c r="P71" s="369"/>
      <c r="Q71" s="368"/>
    </row>
    <row r="72" spans="1:17" ht="12.75" customHeight="1">
      <c r="A72" s="368"/>
      <c r="B72" s="757"/>
      <c r="C72" s="758"/>
      <c r="D72" s="758"/>
      <c r="E72" s="758"/>
      <c r="F72" s="758"/>
      <c r="G72" s="758"/>
      <c r="H72" s="758"/>
      <c r="I72" s="758"/>
      <c r="J72" s="758"/>
      <c r="K72" s="758"/>
      <c r="L72" s="758"/>
      <c r="M72" s="758"/>
      <c r="N72" s="758"/>
      <c r="O72" s="759"/>
      <c r="P72" s="369"/>
      <c r="Q72" s="368"/>
    </row>
    <row r="73" spans="1:17" ht="12.75" customHeight="1">
      <c r="A73" s="368"/>
      <c r="B73" s="757"/>
      <c r="C73" s="758"/>
      <c r="D73" s="758"/>
      <c r="E73" s="758"/>
      <c r="F73" s="758"/>
      <c r="G73" s="758"/>
      <c r="H73" s="758"/>
      <c r="I73" s="758"/>
      <c r="J73" s="758"/>
      <c r="K73" s="758"/>
      <c r="L73" s="758"/>
      <c r="M73" s="758"/>
      <c r="N73" s="758"/>
      <c r="O73" s="759"/>
      <c r="P73" s="369"/>
      <c r="Q73" s="368"/>
    </row>
    <row r="74" spans="1:17" ht="12.75" customHeight="1">
      <c r="A74" s="368"/>
      <c r="B74" s="757"/>
      <c r="C74" s="758"/>
      <c r="D74" s="758"/>
      <c r="E74" s="758"/>
      <c r="F74" s="758"/>
      <c r="G74" s="758"/>
      <c r="H74" s="758"/>
      <c r="I74" s="758"/>
      <c r="J74" s="758"/>
      <c r="K74" s="758"/>
      <c r="L74" s="758"/>
      <c r="M74" s="758"/>
      <c r="N74" s="758"/>
      <c r="O74" s="759"/>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153</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32" t="s">
        <v>236</v>
      </c>
      <c r="D78" s="733"/>
      <c r="E78" s="734"/>
      <c r="F78" s="732" t="s">
        <v>237</v>
      </c>
      <c r="G78" s="733"/>
      <c r="H78" s="735"/>
      <c r="I78" s="732" t="s">
        <v>238</v>
      </c>
      <c r="J78" s="733"/>
      <c r="K78" s="735"/>
      <c r="L78" s="732" t="s">
        <v>239</v>
      </c>
      <c r="M78" s="733"/>
      <c r="N78" s="734"/>
      <c r="O78" s="470"/>
      <c r="P78" s="369"/>
      <c r="Q78" s="368"/>
    </row>
    <row r="79" spans="1:17" ht="15.75" thickBot="1">
      <c r="A79" s="368"/>
      <c r="B79" s="471" t="s">
        <v>244</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46</v>
      </c>
      <c r="P79" s="369"/>
      <c r="Q79" s="368"/>
    </row>
    <row r="80" spans="1:17" ht="14.25">
      <c r="A80" s="368"/>
      <c r="B80" s="473" t="s">
        <v>253</v>
      </c>
      <c r="C80" s="395">
        <v>750.51756</v>
      </c>
      <c r="D80" s="396">
        <v>631.807096</v>
      </c>
      <c r="E80" s="397">
        <v>461.04827800000004</v>
      </c>
      <c r="F80" s="398">
        <v>355.616003</v>
      </c>
      <c r="G80" s="399">
        <v>363.24194300000016</v>
      </c>
      <c r="H80" s="400">
        <v>344.79928500000005</v>
      </c>
      <c r="I80" s="398">
        <v>462.55138300000004</v>
      </c>
      <c r="J80" s="399">
        <v>522.284322</v>
      </c>
      <c r="K80" s="400">
        <v>514.976251</v>
      </c>
      <c r="L80" s="401"/>
      <c r="M80" s="402"/>
      <c r="N80" s="403"/>
      <c r="O80" s="474">
        <f>SUM(C80:N80)</f>
        <v>4406.842121</v>
      </c>
      <c r="P80" s="369"/>
      <c r="Q80" s="368"/>
    </row>
    <row r="81" spans="1:17" ht="14.25">
      <c r="A81" s="368"/>
      <c r="B81" s="473" t="s">
        <v>245</v>
      </c>
      <c r="C81" s="404">
        <f>C80</f>
        <v>750.51756</v>
      </c>
      <c r="D81" s="405">
        <f>+D80+C81</f>
        <v>1382.324656</v>
      </c>
      <c r="E81" s="406">
        <f>+E80+D81</f>
        <v>1843.372934</v>
      </c>
      <c r="F81" s="636">
        <f aca="true" t="shared" si="1" ref="F81:K81">IF(F80&gt;0,F80+E81,"")</f>
        <v>2198.988937</v>
      </c>
      <c r="G81" s="637">
        <f t="shared" si="1"/>
        <v>2562.23088</v>
      </c>
      <c r="H81" s="637">
        <f t="shared" si="1"/>
        <v>2907.030165</v>
      </c>
      <c r="I81" s="636">
        <f t="shared" si="1"/>
        <v>3369.581548</v>
      </c>
      <c r="J81" s="637">
        <f t="shared" si="1"/>
        <v>3891.86587</v>
      </c>
      <c r="K81" s="637">
        <f t="shared" si="1"/>
        <v>4406.842121</v>
      </c>
      <c r="L81" s="130">
        <f>IF(L80&gt;0,L80+K81,"")</f>
      </c>
      <c r="M81" s="131">
        <f>IF(M80&gt;0,M80+L81,"")</f>
      </c>
      <c r="N81" s="132">
        <f>IF(N80&gt;0,N80+M81,"")</f>
      </c>
      <c r="O81" s="475"/>
      <c r="P81" s="369"/>
      <c r="Q81" s="368"/>
    </row>
    <row r="82" spans="1:17" ht="14.25">
      <c r="A82" s="368"/>
      <c r="B82" s="473" t="s">
        <v>252</v>
      </c>
      <c r="C82" s="407"/>
      <c r="D82" s="408"/>
      <c r="E82" s="409">
        <v>1618.31807487161</v>
      </c>
      <c r="F82" s="407"/>
      <c r="G82" s="410"/>
      <c r="H82" s="411">
        <v>880.2242628398172</v>
      </c>
      <c r="I82" s="407"/>
      <c r="J82" s="410"/>
      <c r="K82" s="411">
        <v>1364.95912130933</v>
      </c>
      <c r="L82" s="407"/>
      <c r="M82" s="412"/>
      <c r="N82" s="411">
        <v>1359.0201380438248</v>
      </c>
      <c r="O82" s="476">
        <f>E82+H82+K82+N82</f>
        <v>5222.521597064582</v>
      </c>
      <c r="P82" s="369"/>
      <c r="Q82" s="368"/>
    </row>
    <row r="83" spans="1:17" ht="14.25">
      <c r="A83" s="368"/>
      <c r="B83" s="473" t="s">
        <v>254</v>
      </c>
      <c r="C83" s="413"/>
      <c r="D83" s="414"/>
      <c r="E83" s="415">
        <f>E82</f>
        <v>1618.31807487161</v>
      </c>
      <c r="F83" s="416"/>
      <c r="G83" s="417"/>
      <c r="H83" s="418">
        <f>H82+E83</f>
        <v>2498.542337711427</v>
      </c>
      <c r="I83" s="416"/>
      <c r="J83" s="417"/>
      <c r="K83" s="418">
        <f>K82+H83</f>
        <v>3863.501459020757</v>
      </c>
      <c r="L83" s="416"/>
      <c r="M83" s="417"/>
      <c r="N83" s="418">
        <f>N82+K83</f>
        <v>5222.521597064582</v>
      </c>
      <c r="O83" s="477"/>
      <c r="P83" s="369"/>
      <c r="Q83" s="368"/>
    </row>
    <row r="84" spans="1:17" ht="15" thickBot="1">
      <c r="A84" s="368"/>
      <c r="B84" s="473" t="s">
        <v>246</v>
      </c>
      <c r="C84" s="792">
        <v>56.07010618387896</v>
      </c>
      <c r="D84" s="793">
        <v>55.41797620929257</v>
      </c>
      <c r="E84" s="794">
        <v>56.111972176808024</v>
      </c>
      <c r="F84" s="795">
        <v>53.31731545130294</v>
      </c>
      <c r="G84" s="796">
        <v>52.928151712463375</v>
      </c>
      <c r="H84" s="797">
        <v>52.35639162610761</v>
      </c>
      <c r="I84" s="795">
        <v>56.39762369612136</v>
      </c>
      <c r="J84" s="796">
        <v>60.11444187454422</v>
      </c>
      <c r="K84" s="797">
        <v>58.381885071161925</v>
      </c>
      <c r="L84" s="795">
        <v>57.1500184469536</v>
      </c>
      <c r="M84" s="796">
        <v>56.796875</v>
      </c>
      <c r="N84" s="797">
        <v>57.05</v>
      </c>
      <c r="O84" s="477"/>
      <c r="P84" s="369"/>
      <c r="Q84" s="368"/>
    </row>
    <row r="85" spans="1:17" ht="12.75">
      <c r="A85" s="368"/>
      <c r="B85" s="798"/>
      <c r="C85" s="799"/>
      <c r="D85" s="799"/>
      <c r="E85" s="800">
        <f>SUMPRODUCT(C80:E80,C84:E84)/E81</f>
        <v>55.85706296605374</v>
      </c>
      <c r="F85" s="799"/>
      <c r="G85" s="799"/>
      <c r="H85" s="799"/>
      <c r="I85" s="799"/>
      <c r="J85" s="799"/>
      <c r="K85" s="799"/>
      <c r="L85" s="801"/>
      <c r="M85" s="801"/>
      <c r="N85" s="801"/>
      <c r="O85" s="802"/>
      <c r="P85" s="369"/>
      <c r="Q85" s="368"/>
    </row>
    <row r="86" spans="1:20" ht="12.75">
      <c r="A86" s="368"/>
      <c r="B86" s="478" t="s">
        <v>243</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32" t="s">
        <v>236</v>
      </c>
      <c r="D109" s="733"/>
      <c r="E109" s="734"/>
      <c r="F109" s="732" t="s">
        <v>237</v>
      </c>
      <c r="G109" s="733"/>
      <c r="H109" s="735"/>
      <c r="I109" s="732" t="s">
        <v>238</v>
      </c>
      <c r="J109" s="733"/>
      <c r="K109" s="735"/>
      <c r="L109" s="732" t="s">
        <v>239</v>
      </c>
      <c r="M109" s="733"/>
      <c r="N109" s="734"/>
      <c r="O109" s="470"/>
      <c r="P109" s="368"/>
      <c r="Q109" s="368"/>
    </row>
    <row r="110" spans="1:17" ht="15.75" thickBot="1">
      <c r="A110" s="368"/>
      <c r="B110" s="471" t="s">
        <v>247</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46</v>
      </c>
      <c r="P110" s="369"/>
      <c r="Q110" s="368"/>
    </row>
    <row r="111" spans="1:17" ht="14.25">
      <c r="A111" s="368"/>
      <c r="B111" s="473" t="s">
        <v>16</v>
      </c>
      <c r="C111" s="420">
        <v>1.5262585</v>
      </c>
      <c r="D111" s="421">
        <v>1.5173532000000007</v>
      </c>
      <c r="E111" s="422">
        <v>1.7104983</v>
      </c>
      <c r="F111" s="401">
        <v>3.7318413000000006</v>
      </c>
      <c r="G111" s="402">
        <v>3.0084605999999994</v>
      </c>
      <c r="H111" s="403">
        <v>1.2486462</v>
      </c>
      <c r="I111" s="401">
        <v>1.3986876999999995</v>
      </c>
      <c r="J111" s="402">
        <v>3.1269556000000005</v>
      </c>
      <c r="K111" s="403">
        <v>1.5543119000000003</v>
      </c>
      <c r="L111" s="401"/>
      <c r="M111" s="402"/>
      <c r="N111" s="403"/>
      <c r="O111" s="480">
        <f>SUM(C111:N111)</f>
        <v>18.823013300000003</v>
      </c>
      <c r="P111" s="369"/>
      <c r="Q111" s="368"/>
    </row>
    <row r="112" spans="1:17" ht="14.25">
      <c r="A112" s="368"/>
      <c r="B112" s="473" t="s">
        <v>17</v>
      </c>
      <c r="C112" s="423">
        <f>C111</f>
        <v>1.5262585</v>
      </c>
      <c r="D112" s="424">
        <f>+D111+C112</f>
        <v>3.0436117000000005</v>
      </c>
      <c r="E112" s="425">
        <f>+E111+D112</f>
        <v>4.754110000000001</v>
      </c>
      <c r="F112" s="130">
        <f>IF(F111&gt;0,F111+E112,"")</f>
        <v>8.485951300000002</v>
      </c>
      <c r="G112" s="426">
        <f>IF(G111&gt;0,G111+F112,"")</f>
        <v>11.494411900000001</v>
      </c>
      <c r="H112" s="426">
        <f>IF(H111&gt;0,H111+G112,"")</f>
        <v>12.7430581</v>
      </c>
      <c r="I112" s="427">
        <f aca="true" t="shared" si="2" ref="I112:N112">IF(I111&gt;0,I111+H112,"")</f>
        <v>14.1417458</v>
      </c>
      <c r="J112" s="428">
        <f t="shared" si="2"/>
        <v>17.2687014</v>
      </c>
      <c r="K112" s="429">
        <f t="shared" si="2"/>
        <v>18.823013300000003</v>
      </c>
      <c r="L112" s="427">
        <f t="shared" si="2"/>
      </c>
      <c r="M112" s="428">
        <f t="shared" si="2"/>
      </c>
      <c r="N112" s="429">
        <f t="shared" si="2"/>
      </c>
      <c r="O112" s="481"/>
      <c r="P112" s="369"/>
      <c r="Q112" s="368"/>
    </row>
    <row r="113" spans="1:17" ht="14.25">
      <c r="A113" s="368"/>
      <c r="B113" s="473" t="s">
        <v>255</v>
      </c>
      <c r="C113" s="407"/>
      <c r="D113" s="408"/>
      <c r="E113" s="430">
        <v>28.513770042796</v>
      </c>
      <c r="F113" s="407"/>
      <c r="G113" s="410"/>
      <c r="H113" s="431">
        <v>1.435668082379884</v>
      </c>
      <c r="I113" s="407"/>
      <c r="J113" s="412"/>
      <c r="K113" s="431">
        <v>101.76763211774353</v>
      </c>
      <c r="L113" s="407"/>
      <c r="M113" s="412"/>
      <c r="N113" s="431">
        <v>122.35052858122914</v>
      </c>
      <c r="O113" s="482">
        <f>E113+H113+K113+N113</f>
        <v>254.06759882414855</v>
      </c>
      <c r="P113" s="369"/>
      <c r="Q113" s="368"/>
    </row>
    <row r="114" spans="1:17" ht="14.25">
      <c r="A114" s="368"/>
      <c r="B114" s="473" t="s">
        <v>254</v>
      </c>
      <c r="C114" s="416"/>
      <c r="D114" s="432"/>
      <c r="E114" s="433">
        <f>E113</f>
        <v>28.513770042796</v>
      </c>
      <c r="F114" s="416"/>
      <c r="G114" s="417"/>
      <c r="H114" s="434">
        <f>H113+E114</f>
        <v>29.949438125175885</v>
      </c>
      <c r="I114" s="416"/>
      <c r="J114" s="417"/>
      <c r="K114" s="434">
        <v>135</v>
      </c>
      <c r="L114" s="416"/>
      <c r="M114" s="417"/>
      <c r="N114" s="434">
        <f>N113+K114</f>
        <v>257.3505285812291</v>
      </c>
      <c r="O114" s="477"/>
      <c r="P114" s="369"/>
      <c r="Q114" s="368"/>
    </row>
    <row r="115" spans="1:17" ht="15" thickBot="1">
      <c r="A115" s="368"/>
      <c r="B115" s="473" t="s">
        <v>248</v>
      </c>
      <c r="C115" s="792">
        <v>56.540186344580555</v>
      </c>
      <c r="D115" s="793">
        <v>55.65319521555863</v>
      </c>
      <c r="E115" s="794">
        <v>62.1355133764237</v>
      </c>
      <c r="F115" s="803">
        <v>57.38097667171467</v>
      </c>
      <c r="G115" s="804">
        <v>48.28265134203633</v>
      </c>
      <c r="H115" s="805">
        <v>64.15119752032572</v>
      </c>
      <c r="I115" s="803">
        <v>57.91502746093163</v>
      </c>
      <c r="J115" s="804">
        <v>55.72873074132924</v>
      </c>
      <c r="K115" s="805">
        <v>54.921261298970954</v>
      </c>
      <c r="L115" s="803"/>
      <c r="M115" s="804"/>
      <c r="N115" s="805"/>
      <c r="O115" s="477"/>
      <c r="P115" s="369"/>
      <c r="Q115" s="368"/>
    </row>
    <row r="116" spans="1:20" ht="12.75">
      <c r="A116" s="368"/>
      <c r="B116" s="806"/>
      <c r="C116" s="807"/>
      <c r="D116" s="807"/>
      <c r="E116" s="807"/>
      <c r="F116" s="807"/>
      <c r="G116" s="807"/>
      <c r="H116" s="807"/>
      <c r="I116" s="807"/>
      <c r="J116" s="807"/>
      <c r="K116" s="807"/>
      <c r="L116" s="807"/>
      <c r="M116" s="807"/>
      <c r="N116" s="807"/>
      <c r="O116" s="808"/>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C6:O6"/>
    <mergeCell ref="C78:E78"/>
    <mergeCell ref="F78:H78"/>
    <mergeCell ref="I78:K78"/>
    <mergeCell ref="L78:N78"/>
    <mergeCell ref="L31:N31"/>
    <mergeCell ref="H9:O9"/>
    <mergeCell ref="H11:O11"/>
    <mergeCell ref="H13:O26"/>
    <mergeCell ref="B70:O74"/>
    <mergeCell ref="B31:B32"/>
    <mergeCell ref="C31:E31"/>
    <mergeCell ref="F31:H31"/>
    <mergeCell ref="I31:K31"/>
    <mergeCell ref="L109:N109"/>
    <mergeCell ref="C109:E109"/>
    <mergeCell ref="F109:H109"/>
    <mergeCell ref="I109:K109"/>
  </mergeCells>
  <printOptions/>
  <pageMargins left="0.75" right="0.75" top="1" bottom="1" header="0.5" footer="0.5"/>
  <pageSetup fitToHeight="1" fitToWidth="1" horizontalDpi="600" verticalDpi="600" orientation="portrait" paperSize="8" scale="50"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B53" sqref="B53"/>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75</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154</v>
      </c>
      <c r="C4" s="212"/>
      <c r="D4" s="212"/>
      <c r="E4" s="212"/>
      <c r="F4" s="212"/>
      <c r="G4" s="212"/>
      <c r="H4" s="246"/>
    </row>
    <row r="5" spans="2:8" ht="12" thickBot="1">
      <c r="B5" s="245"/>
      <c r="C5" s="212"/>
      <c r="D5" s="212"/>
      <c r="E5" s="212"/>
      <c r="F5" s="212"/>
      <c r="G5" s="212"/>
      <c r="H5" s="246"/>
    </row>
    <row r="6" spans="2:11" s="488" customFormat="1" ht="141.75" customHeight="1" thickBot="1">
      <c r="B6" s="510" t="s">
        <v>70</v>
      </c>
      <c r="C6" s="722" t="s">
        <v>261</v>
      </c>
      <c r="D6" s="722"/>
      <c r="E6" s="722"/>
      <c r="F6" s="722"/>
      <c r="G6" s="722"/>
      <c r="H6" s="723"/>
      <c r="I6" s="317"/>
      <c r="J6" s="486"/>
      <c r="K6" s="487"/>
    </row>
    <row r="7" spans="2:8" ht="11.25">
      <c r="B7" s="245"/>
      <c r="C7" s="212"/>
      <c r="D7" s="212"/>
      <c r="E7" s="212"/>
      <c r="F7" s="212"/>
      <c r="G7" s="212"/>
      <c r="H7" s="246"/>
    </row>
    <row r="8" spans="2:8" ht="15">
      <c r="B8" s="245"/>
      <c r="C8" s="212"/>
      <c r="D8" s="212"/>
      <c r="E8" s="212"/>
      <c r="F8" s="212"/>
      <c r="G8" s="698" t="s">
        <v>159</v>
      </c>
      <c r="H8" s="700"/>
    </row>
    <row r="9" spans="2:8" ht="14.25">
      <c r="B9" s="245"/>
      <c r="C9" s="212"/>
      <c r="D9" s="212"/>
      <c r="E9" s="212"/>
      <c r="F9" s="212"/>
      <c r="G9" s="489"/>
      <c r="H9" s="504"/>
    </row>
    <row r="10" spans="2:8" ht="11.25" customHeight="1">
      <c r="B10" s="245"/>
      <c r="C10" s="212"/>
      <c r="D10" s="212"/>
      <c r="E10" s="212"/>
      <c r="F10" s="212"/>
      <c r="G10" s="678" t="s">
        <v>212</v>
      </c>
      <c r="H10" s="680"/>
    </row>
    <row r="11" spans="2:8" ht="14.25">
      <c r="B11" s="245"/>
      <c r="C11" s="212"/>
      <c r="D11" s="212"/>
      <c r="E11" s="212"/>
      <c r="F11" s="212"/>
      <c r="G11" s="490"/>
      <c r="H11" s="505"/>
    </row>
    <row r="12" spans="2:8" ht="11.25" customHeight="1">
      <c r="B12" s="245"/>
      <c r="C12" s="212"/>
      <c r="D12" s="212"/>
      <c r="E12" s="212"/>
      <c r="F12" s="212"/>
      <c r="G12" s="760" t="s">
        <v>279</v>
      </c>
      <c r="H12" s="761"/>
    </row>
    <row r="13" spans="2:8" ht="11.25" customHeight="1">
      <c r="B13" s="245"/>
      <c r="C13" s="212"/>
      <c r="D13" s="212"/>
      <c r="E13" s="212"/>
      <c r="F13" s="212"/>
      <c r="G13" s="760"/>
      <c r="H13" s="761"/>
    </row>
    <row r="14" spans="2:8" ht="11.25" customHeight="1">
      <c r="B14" s="245"/>
      <c r="C14" s="212"/>
      <c r="D14" s="212"/>
      <c r="E14" s="212"/>
      <c r="F14" s="212"/>
      <c r="G14" s="760"/>
      <c r="H14" s="761"/>
    </row>
    <row r="15" spans="2:8" ht="11.25" customHeight="1">
      <c r="B15" s="245"/>
      <c r="C15" s="212"/>
      <c r="D15" s="212"/>
      <c r="E15" s="212"/>
      <c r="F15" s="212"/>
      <c r="G15" s="760"/>
      <c r="H15" s="761"/>
    </row>
    <row r="16" spans="2:8" ht="11.25" customHeight="1">
      <c r="B16" s="245"/>
      <c r="C16" s="212"/>
      <c r="D16" s="212"/>
      <c r="E16" s="212"/>
      <c r="F16" s="212"/>
      <c r="G16" s="760"/>
      <c r="H16" s="761"/>
    </row>
    <row r="17" spans="2:8" ht="11.25" customHeight="1">
      <c r="B17" s="245"/>
      <c r="C17" s="212"/>
      <c r="D17" s="212"/>
      <c r="E17" s="212"/>
      <c r="F17" s="212"/>
      <c r="G17" s="760"/>
      <c r="H17" s="761"/>
    </row>
    <row r="18" spans="2:8" ht="11.25" customHeight="1">
      <c r="B18" s="245"/>
      <c r="C18" s="212"/>
      <c r="D18" s="212"/>
      <c r="E18" s="212"/>
      <c r="F18" s="212"/>
      <c r="G18" s="760"/>
      <c r="H18" s="761"/>
    </row>
    <row r="19" spans="2:8" ht="11.25" customHeight="1">
      <c r="B19" s="245"/>
      <c r="C19" s="212"/>
      <c r="D19" s="212"/>
      <c r="E19" s="212"/>
      <c r="F19" s="212"/>
      <c r="G19" s="760"/>
      <c r="H19" s="761"/>
    </row>
    <row r="20" spans="2:8" ht="11.25">
      <c r="B20" s="245"/>
      <c r="C20" s="212"/>
      <c r="D20" s="212"/>
      <c r="E20" s="212"/>
      <c r="F20" s="212"/>
      <c r="G20" s="762"/>
      <c r="H20" s="763"/>
    </row>
    <row r="21" spans="2:8" ht="11.25">
      <c r="B21" s="245"/>
      <c r="C21" s="212"/>
      <c r="D21" s="212"/>
      <c r="E21" s="212"/>
      <c r="F21" s="212"/>
      <c r="G21" s="762"/>
      <c r="H21" s="763"/>
    </row>
    <row r="22" spans="2:8" ht="11.25">
      <c r="B22" s="506"/>
      <c r="C22" s="146"/>
      <c r="D22" s="212"/>
      <c r="E22" s="212"/>
      <c r="F22" s="212"/>
      <c r="G22" s="762"/>
      <c r="H22" s="763"/>
    </row>
    <row r="23" spans="2:8" ht="11.25">
      <c r="B23" s="507"/>
      <c r="C23" s="137"/>
      <c r="D23" s="212"/>
      <c r="E23" s="212"/>
      <c r="F23" s="212"/>
      <c r="G23" s="762"/>
      <c r="H23" s="763"/>
    </row>
    <row r="24" spans="2:8" ht="11.25">
      <c r="B24" s="245"/>
      <c r="C24" s="212"/>
      <c r="D24" s="212"/>
      <c r="E24" s="212"/>
      <c r="F24" s="212"/>
      <c r="G24" s="762"/>
      <c r="H24" s="763"/>
    </row>
    <row r="25" spans="2:8" ht="11.25">
      <c r="B25" s="245"/>
      <c r="C25" s="212"/>
      <c r="D25" s="212"/>
      <c r="E25" s="212"/>
      <c r="F25" s="212"/>
      <c r="G25" s="762"/>
      <c r="H25" s="763"/>
    </row>
    <row r="26" spans="2:8" ht="11.25">
      <c r="B26" s="245"/>
      <c r="C26" s="212"/>
      <c r="D26" s="212"/>
      <c r="E26" s="212"/>
      <c r="F26" s="212"/>
      <c r="G26" s="762"/>
      <c r="H26" s="763"/>
    </row>
    <row r="27" spans="2:8" ht="11.25">
      <c r="B27" s="245"/>
      <c r="C27" s="212"/>
      <c r="D27" s="212"/>
      <c r="E27" s="212"/>
      <c r="F27" s="212"/>
      <c r="G27" s="764"/>
      <c r="H27" s="765"/>
    </row>
    <row r="28" spans="2:8" ht="11.25">
      <c r="B28" s="245"/>
      <c r="C28" s="212"/>
      <c r="D28" s="212"/>
      <c r="E28" s="212"/>
      <c r="F28" s="212"/>
      <c r="G28" s="212"/>
      <c r="H28" s="246"/>
    </row>
    <row r="29" spans="2:8" ht="15.75">
      <c r="B29" s="227" t="s">
        <v>152</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14.25">
      <c r="B52" s="689" t="s">
        <v>293</v>
      </c>
      <c r="C52" s="690"/>
      <c r="D52" s="690"/>
      <c r="E52" s="690"/>
      <c r="F52" s="690"/>
      <c r="G52" s="690"/>
      <c r="H52" s="691"/>
    </row>
    <row r="53" spans="2:8" ht="11.25">
      <c r="B53" s="245"/>
      <c r="C53" s="212"/>
      <c r="D53" s="212"/>
      <c r="E53" s="212"/>
      <c r="F53" s="212"/>
      <c r="G53" s="212"/>
      <c r="H53" s="246"/>
    </row>
    <row r="54" spans="2:8" ht="15.75">
      <c r="B54" s="227" t="s">
        <v>153</v>
      </c>
      <c r="C54" s="212"/>
      <c r="D54" s="212"/>
      <c r="E54" s="212"/>
      <c r="F54" s="212"/>
      <c r="G54" s="212"/>
      <c r="H54" s="246"/>
    </row>
    <row r="55" spans="2:8" ht="12" thickBot="1">
      <c r="B55" s="245"/>
      <c r="C55" s="212"/>
      <c r="D55" s="212"/>
      <c r="E55" s="212"/>
      <c r="F55" s="212"/>
      <c r="G55" s="212"/>
      <c r="H55" s="246"/>
    </row>
    <row r="56" spans="2:12" ht="57">
      <c r="B56" s="508" t="s">
        <v>41</v>
      </c>
      <c r="C56" s="491" t="s">
        <v>266</v>
      </c>
      <c r="D56" s="491" t="s">
        <v>267</v>
      </c>
      <c r="E56" s="492" t="s">
        <v>15</v>
      </c>
      <c r="F56" s="212"/>
      <c r="G56" s="212"/>
      <c r="H56" s="246"/>
      <c r="I56" s="493"/>
      <c r="J56" s="265"/>
      <c r="K56" s="265"/>
      <c r="L56" s="494"/>
    </row>
    <row r="57" spans="2:12" ht="15.75">
      <c r="B57" s="509">
        <v>40634</v>
      </c>
      <c r="C57" s="495">
        <v>1.49</v>
      </c>
      <c r="D57" s="495">
        <v>0</v>
      </c>
      <c r="E57" s="330">
        <v>1208</v>
      </c>
      <c r="F57" s="212"/>
      <c r="G57" s="212"/>
      <c r="H57" s="246"/>
      <c r="I57" s="142"/>
      <c r="J57" s="265"/>
      <c r="K57" s="496"/>
      <c r="L57" s="264"/>
    </row>
    <row r="58" spans="2:12" ht="15.75">
      <c r="B58" s="305">
        <v>40664</v>
      </c>
      <c r="C58" s="495">
        <v>1.24</v>
      </c>
      <c r="D58" s="495">
        <v>0</v>
      </c>
      <c r="E58" s="330">
        <v>911</v>
      </c>
      <c r="F58" s="212"/>
      <c r="G58" s="212"/>
      <c r="H58" s="246"/>
      <c r="I58" s="493"/>
      <c r="J58" s="265"/>
      <c r="K58" s="265"/>
      <c r="L58" s="264"/>
    </row>
    <row r="59" spans="2:12" ht="15.75">
      <c r="B59" s="305">
        <v>40695</v>
      </c>
      <c r="C59" s="495">
        <v>1.26</v>
      </c>
      <c r="D59" s="495">
        <v>0</v>
      </c>
      <c r="E59" s="330">
        <v>911</v>
      </c>
      <c r="F59" s="212"/>
      <c r="G59" s="212"/>
      <c r="H59" s="246"/>
      <c r="J59" s="265"/>
      <c r="K59" s="142"/>
      <c r="L59" s="264"/>
    </row>
    <row r="60" spans="2:12" ht="15.75">
      <c r="B60" s="305">
        <v>40725</v>
      </c>
      <c r="C60" s="495">
        <v>1.29309829</v>
      </c>
      <c r="D60" s="495">
        <v>0</v>
      </c>
      <c r="E60" s="330">
        <v>911</v>
      </c>
      <c r="F60" s="212"/>
      <c r="G60" s="212"/>
      <c r="H60" s="246"/>
      <c r="J60" s="265"/>
      <c r="K60" s="497"/>
      <c r="L60" s="265"/>
    </row>
    <row r="61" spans="2:12" ht="15.75">
      <c r="B61" s="305">
        <v>40756</v>
      </c>
      <c r="C61" s="495">
        <v>1.28098</v>
      </c>
      <c r="D61" s="495">
        <v>0</v>
      </c>
      <c r="E61" s="330">
        <v>911</v>
      </c>
      <c r="F61" s="212"/>
      <c r="G61" s="212"/>
      <c r="H61" s="246"/>
      <c r="J61" s="265"/>
      <c r="K61" s="142"/>
      <c r="L61" s="265"/>
    </row>
    <row r="62" spans="2:12" ht="15.75">
      <c r="B62" s="305">
        <v>40787</v>
      </c>
      <c r="C62" s="495">
        <v>1.218</v>
      </c>
      <c r="D62" s="495">
        <v>0</v>
      </c>
      <c r="E62" s="330">
        <v>911</v>
      </c>
      <c r="F62" s="212"/>
      <c r="G62" s="212"/>
      <c r="H62" s="246"/>
      <c r="J62" s="265"/>
      <c r="K62" s="497"/>
      <c r="L62" s="265"/>
    </row>
    <row r="63" spans="2:12" ht="15.75">
      <c r="B63" s="305">
        <v>40817</v>
      </c>
      <c r="C63" s="498">
        <v>1.309</v>
      </c>
      <c r="D63" s="498">
        <v>0</v>
      </c>
      <c r="E63" s="330">
        <v>1050</v>
      </c>
      <c r="F63" s="212"/>
      <c r="G63" s="212"/>
      <c r="H63" s="246"/>
      <c r="K63" s="142"/>
      <c r="L63" s="499"/>
    </row>
    <row r="64" spans="2:12" ht="15.75">
      <c r="B64" s="305">
        <v>40848</v>
      </c>
      <c r="C64" s="498">
        <v>1.29</v>
      </c>
      <c r="D64" s="498">
        <v>0</v>
      </c>
      <c r="E64" s="330">
        <v>1050</v>
      </c>
      <c r="F64" s="212"/>
      <c r="G64" s="212"/>
      <c r="H64" s="246"/>
      <c r="K64" s="264"/>
      <c r="L64" s="499"/>
    </row>
    <row r="65" spans="2:12" ht="15.75">
      <c r="B65" s="305">
        <v>40878</v>
      </c>
      <c r="C65" s="498">
        <v>1.31</v>
      </c>
      <c r="D65" s="498">
        <v>0</v>
      </c>
      <c r="E65" s="330">
        <v>1050</v>
      </c>
      <c r="F65" s="212"/>
      <c r="G65" s="212"/>
      <c r="H65" s="246"/>
      <c r="K65" s="142"/>
      <c r="L65" s="499"/>
    </row>
    <row r="66" spans="2:12" ht="15.75">
      <c r="B66" s="305">
        <v>40909</v>
      </c>
      <c r="C66" s="498"/>
      <c r="D66" s="498"/>
      <c r="E66" s="330"/>
      <c r="F66" s="212"/>
      <c r="G66" s="212"/>
      <c r="H66" s="246"/>
      <c r="K66" s="497"/>
      <c r="L66" s="499"/>
    </row>
    <row r="67" spans="2:12" ht="15.75">
      <c r="B67" s="305">
        <v>40940</v>
      </c>
      <c r="C67" s="498"/>
      <c r="D67" s="498"/>
      <c r="E67" s="330"/>
      <c r="F67" s="212"/>
      <c r="G67" s="212"/>
      <c r="H67" s="246"/>
      <c r="L67" s="499"/>
    </row>
    <row r="68" spans="2:12" ht="15" thickBot="1">
      <c r="B68" s="307">
        <v>40969</v>
      </c>
      <c r="C68" s="500"/>
      <c r="D68" s="501"/>
      <c r="E68" s="502"/>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C1">
      <selection activeCell="B71" sqref="B71:H79"/>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5.00390625" style="200" bestFit="1"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73</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154</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70</v>
      </c>
      <c r="C6" s="770" t="s">
        <v>224</v>
      </c>
      <c r="D6" s="771"/>
      <c r="E6" s="771"/>
      <c r="F6" s="771"/>
      <c r="G6" s="771"/>
      <c r="H6" s="771"/>
      <c r="I6" s="771"/>
      <c r="J6" s="771"/>
      <c r="K6" s="771"/>
      <c r="L6" s="771"/>
      <c r="M6" s="771"/>
      <c r="N6" s="771"/>
      <c r="O6" s="771"/>
      <c r="P6" s="772"/>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698" t="s">
        <v>159</v>
      </c>
      <c r="K8" s="699"/>
      <c r="L8" s="699"/>
      <c r="M8" s="699"/>
      <c r="N8" s="699"/>
      <c r="O8" s="699"/>
      <c r="P8" s="700"/>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78" t="s">
        <v>213</v>
      </c>
      <c r="K10" s="679"/>
      <c r="L10" s="679"/>
      <c r="M10" s="679"/>
      <c r="N10" s="679"/>
      <c r="O10" s="679"/>
      <c r="P10" s="680"/>
    </row>
    <row r="11" spans="2:16" ht="11.25" customHeight="1">
      <c r="B11" s="232"/>
      <c r="C11" s="279"/>
      <c r="D11" s="279"/>
      <c r="E11" s="279"/>
      <c r="F11" s="279"/>
      <c r="G11" s="279"/>
      <c r="H11" s="279"/>
      <c r="I11" s="279"/>
      <c r="J11" s="678"/>
      <c r="K11" s="679"/>
      <c r="L11" s="679"/>
      <c r="M11" s="679"/>
      <c r="N11" s="679"/>
      <c r="O11" s="679"/>
      <c r="P11" s="680"/>
    </row>
    <row r="12" spans="2:16" ht="14.25" customHeight="1">
      <c r="B12" s="232"/>
      <c r="C12" s="279"/>
      <c r="D12" s="279"/>
      <c r="E12" s="279"/>
      <c r="F12" s="279"/>
      <c r="G12" s="279"/>
      <c r="H12" s="279"/>
      <c r="I12" s="279"/>
      <c r="J12" s="678"/>
      <c r="K12" s="679"/>
      <c r="L12" s="679"/>
      <c r="M12" s="679"/>
      <c r="N12" s="679"/>
      <c r="O12" s="679"/>
      <c r="P12" s="680"/>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81" t="s">
        <v>21</v>
      </c>
      <c r="K14" s="682"/>
      <c r="L14" s="682"/>
      <c r="M14" s="682"/>
      <c r="N14" s="682"/>
      <c r="O14" s="682"/>
      <c r="P14" s="683"/>
    </row>
    <row r="15" spans="2:16" ht="11.25" customHeight="1">
      <c r="B15" s="232"/>
      <c r="C15" s="279"/>
      <c r="D15" s="279"/>
      <c r="E15" s="279"/>
      <c r="F15" s="279"/>
      <c r="G15" s="279"/>
      <c r="H15" s="279"/>
      <c r="I15" s="279"/>
      <c r="J15" s="681"/>
      <c r="K15" s="682"/>
      <c r="L15" s="682"/>
      <c r="M15" s="682"/>
      <c r="N15" s="682"/>
      <c r="O15" s="682"/>
      <c r="P15" s="683"/>
    </row>
    <row r="16" spans="2:16" ht="11.25" customHeight="1">
      <c r="B16" s="232"/>
      <c r="C16" s="279"/>
      <c r="D16" s="279"/>
      <c r="E16" s="279"/>
      <c r="F16" s="279"/>
      <c r="G16" s="279"/>
      <c r="H16" s="279"/>
      <c r="I16" s="279"/>
      <c r="J16" s="681"/>
      <c r="K16" s="682"/>
      <c r="L16" s="682"/>
      <c r="M16" s="682"/>
      <c r="N16" s="682"/>
      <c r="O16" s="682"/>
      <c r="P16" s="683"/>
    </row>
    <row r="17" spans="2:16" ht="11.25" customHeight="1">
      <c r="B17" s="232"/>
      <c r="C17" s="279"/>
      <c r="D17" s="279"/>
      <c r="E17" s="279"/>
      <c r="F17" s="279"/>
      <c r="G17" s="279"/>
      <c r="H17" s="279"/>
      <c r="I17" s="279"/>
      <c r="J17" s="681"/>
      <c r="K17" s="682"/>
      <c r="L17" s="682"/>
      <c r="M17" s="682"/>
      <c r="N17" s="682"/>
      <c r="O17" s="682"/>
      <c r="P17" s="683"/>
    </row>
    <row r="18" spans="2:16" ht="14.25" customHeight="1">
      <c r="B18" s="232"/>
      <c r="C18" s="279"/>
      <c r="D18" s="279"/>
      <c r="E18" s="279"/>
      <c r="F18" s="279"/>
      <c r="G18" s="279"/>
      <c r="H18" s="279"/>
      <c r="I18" s="279"/>
      <c r="J18" s="681"/>
      <c r="K18" s="682"/>
      <c r="L18" s="682"/>
      <c r="M18" s="682"/>
      <c r="N18" s="682"/>
      <c r="O18" s="682"/>
      <c r="P18" s="683"/>
    </row>
    <row r="19" spans="2:16" ht="24.75" customHeight="1">
      <c r="B19" s="232"/>
      <c r="C19" s="279"/>
      <c r="D19" s="279"/>
      <c r="E19" s="279"/>
      <c r="F19" s="279"/>
      <c r="G19" s="279"/>
      <c r="H19" s="279"/>
      <c r="I19" s="279"/>
      <c r="J19" s="681"/>
      <c r="K19" s="682"/>
      <c r="L19" s="682"/>
      <c r="M19" s="682"/>
      <c r="N19" s="682"/>
      <c r="O19" s="682"/>
      <c r="P19" s="683"/>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698" t="s">
        <v>159</v>
      </c>
      <c r="K25" s="699"/>
      <c r="L25" s="699"/>
      <c r="M25" s="699"/>
      <c r="N25" s="699"/>
      <c r="O25" s="699"/>
      <c r="P25" s="700"/>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78" t="s">
        <v>214</v>
      </c>
      <c r="K27" s="679"/>
      <c r="L27" s="679"/>
      <c r="M27" s="679"/>
      <c r="N27" s="679"/>
      <c r="O27" s="679"/>
      <c r="P27" s="680"/>
    </row>
    <row r="28" spans="2:16" ht="11.25" customHeight="1">
      <c r="B28" s="232"/>
      <c r="C28" s="279"/>
      <c r="D28" s="279"/>
      <c r="E28" s="279"/>
      <c r="F28" s="279"/>
      <c r="G28" s="279"/>
      <c r="H28" s="279"/>
      <c r="I28" s="279"/>
      <c r="J28" s="678"/>
      <c r="K28" s="679"/>
      <c r="L28" s="679"/>
      <c r="M28" s="679"/>
      <c r="N28" s="679"/>
      <c r="O28" s="679"/>
      <c r="P28" s="680"/>
    </row>
    <row r="29" spans="2:16" ht="12.75" customHeight="1">
      <c r="B29" s="232"/>
      <c r="C29" s="279"/>
      <c r="D29" s="279"/>
      <c r="E29" s="279"/>
      <c r="F29" s="279"/>
      <c r="G29" s="279"/>
      <c r="H29" s="279"/>
      <c r="I29" s="279"/>
      <c r="J29" s="678"/>
      <c r="K29" s="679"/>
      <c r="L29" s="679"/>
      <c r="M29" s="679"/>
      <c r="N29" s="679"/>
      <c r="O29" s="679"/>
      <c r="P29" s="680"/>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81" t="s">
        <v>156</v>
      </c>
      <c r="K31" s="682"/>
      <c r="L31" s="682"/>
      <c r="M31" s="682"/>
      <c r="N31" s="682"/>
      <c r="O31" s="682"/>
      <c r="P31" s="683"/>
    </row>
    <row r="32" spans="2:16" ht="11.25" customHeight="1">
      <c r="B32" s="232"/>
      <c r="C32" s="279"/>
      <c r="D32" s="279"/>
      <c r="E32" s="279"/>
      <c r="F32" s="279"/>
      <c r="G32" s="279"/>
      <c r="H32" s="279"/>
      <c r="I32" s="279"/>
      <c r="J32" s="681"/>
      <c r="K32" s="682"/>
      <c r="L32" s="682"/>
      <c r="M32" s="682"/>
      <c r="N32" s="682"/>
      <c r="O32" s="682"/>
      <c r="P32" s="683"/>
    </row>
    <row r="33" spans="2:16" ht="11.25" customHeight="1">
      <c r="B33" s="232"/>
      <c r="C33" s="279"/>
      <c r="D33" s="279"/>
      <c r="E33" s="279"/>
      <c r="F33" s="279"/>
      <c r="G33" s="279"/>
      <c r="H33" s="279"/>
      <c r="I33" s="279"/>
      <c r="J33" s="681"/>
      <c r="K33" s="682"/>
      <c r="L33" s="682"/>
      <c r="M33" s="682"/>
      <c r="N33" s="682"/>
      <c r="O33" s="682"/>
      <c r="P33" s="683"/>
    </row>
    <row r="34" spans="2:16" ht="11.25" customHeight="1">
      <c r="B34" s="232"/>
      <c r="C34" s="279"/>
      <c r="D34" s="279"/>
      <c r="E34" s="279"/>
      <c r="F34" s="279"/>
      <c r="G34" s="279"/>
      <c r="H34" s="279"/>
      <c r="I34" s="279"/>
      <c r="J34" s="681"/>
      <c r="K34" s="682"/>
      <c r="L34" s="682"/>
      <c r="M34" s="682"/>
      <c r="N34" s="682"/>
      <c r="O34" s="682"/>
      <c r="P34" s="683"/>
    </row>
    <row r="35" spans="2:16" ht="11.25" customHeight="1">
      <c r="B35" s="232"/>
      <c r="C35" s="279"/>
      <c r="D35" s="279"/>
      <c r="E35" s="279"/>
      <c r="F35" s="279"/>
      <c r="G35" s="279"/>
      <c r="H35" s="279"/>
      <c r="I35" s="279"/>
      <c r="J35" s="681"/>
      <c r="K35" s="682"/>
      <c r="L35" s="682"/>
      <c r="M35" s="682"/>
      <c r="N35" s="682"/>
      <c r="O35" s="682"/>
      <c r="P35" s="683"/>
    </row>
    <row r="36" spans="2:16" ht="11.25" customHeight="1">
      <c r="B36" s="232"/>
      <c r="C36" s="279"/>
      <c r="D36" s="279"/>
      <c r="E36" s="279"/>
      <c r="F36" s="279"/>
      <c r="G36" s="279"/>
      <c r="H36" s="279"/>
      <c r="I36" s="279"/>
      <c r="J36" s="681"/>
      <c r="K36" s="682"/>
      <c r="L36" s="682"/>
      <c r="M36" s="682"/>
      <c r="N36" s="682"/>
      <c r="O36" s="682"/>
      <c r="P36" s="683"/>
    </row>
    <row r="37" spans="2:16" ht="11.25" customHeight="1">
      <c r="B37" s="232"/>
      <c r="C37" s="279"/>
      <c r="D37" s="279"/>
      <c r="E37" s="279"/>
      <c r="F37" s="279"/>
      <c r="G37" s="279"/>
      <c r="H37" s="279"/>
      <c r="I37" s="279"/>
      <c r="J37" s="681"/>
      <c r="K37" s="682"/>
      <c r="L37" s="682"/>
      <c r="M37" s="682"/>
      <c r="N37" s="682"/>
      <c r="O37" s="682"/>
      <c r="P37" s="683"/>
    </row>
    <row r="38" spans="2:16" ht="12.75" customHeight="1">
      <c r="B38" s="232"/>
      <c r="C38" s="279"/>
      <c r="D38" s="279"/>
      <c r="E38" s="279"/>
      <c r="F38" s="279"/>
      <c r="G38" s="279"/>
      <c r="H38" s="279"/>
      <c r="I38" s="279"/>
      <c r="J38" s="681"/>
      <c r="K38" s="682"/>
      <c r="L38" s="682"/>
      <c r="M38" s="682"/>
      <c r="N38" s="682"/>
      <c r="O38" s="682"/>
      <c r="P38" s="683"/>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152</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77" t="s">
        <v>1</v>
      </c>
      <c r="C71" s="778"/>
      <c r="D71" s="778"/>
      <c r="E71" s="778"/>
      <c r="F71" s="778"/>
      <c r="G71" s="778"/>
      <c r="H71" s="778"/>
      <c r="I71" s="279"/>
      <c r="J71" s="775" t="s">
        <v>2</v>
      </c>
      <c r="K71" s="775"/>
      <c r="L71" s="775"/>
      <c r="M71" s="775"/>
      <c r="N71" s="775"/>
      <c r="O71" s="775"/>
      <c r="P71" s="776"/>
      <c r="Q71" s="134"/>
    </row>
    <row r="72" spans="2:17" ht="12.75" customHeight="1">
      <c r="B72" s="777"/>
      <c r="C72" s="778"/>
      <c r="D72" s="778"/>
      <c r="E72" s="778"/>
      <c r="F72" s="778"/>
      <c r="G72" s="778"/>
      <c r="H72" s="778"/>
      <c r="I72" s="279"/>
      <c r="J72" s="775"/>
      <c r="K72" s="775"/>
      <c r="L72" s="775"/>
      <c r="M72" s="775"/>
      <c r="N72" s="775"/>
      <c r="O72" s="775"/>
      <c r="P72" s="776"/>
      <c r="Q72" s="134"/>
    </row>
    <row r="73" spans="2:17" ht="12.75" customHeight="1">
      <c r="B73" s="777"/>
      <c r="C73" s="778"/>
      <c r="D73" s="778"/>
      <c r="E73" s="778"/>
      <c r="F73" s="778"/>
      <c r="G73" s="778"/>
      <c r="H73" s="778"/>
      <c r="I73" s="279"/>
      <c r="J73" s="775"/>
      <c r="K73" s="775"/>
      <c r="L73" s="775"/>
      <c r="M73" s="775"/>
      <c r="N73" s="775"/>
      <c r="O73" s="775"/>
      <c r="P73" s="776"/>
      <c r="Q73" s="134"/>
    </row>
    <row r="74" spans="2:17" ht="12.75" customHeight="1">
      <c r="B74" s="777"/>
      <c r="C74" s="778"/>
      <c r="D74" s="778"/>
      <c r="E74" s="778"/>
      <c r="F74" s="778"/>
      <c r="G74" s="778"/>
      <c r="H74" s="778"/>
      <c r="I74" s="279"/>
      <c r="J74" s="775"/>
      <c r="K74" s="775"/>
      <c r="L74" s="775"/>
      <c r="M74" s="775"/>
      <c r="N74" s="775"/>
      <c r="O74" s="775"/>
      <c r="P74" s="776"/>
      <c r="Q74" s="134"/>
    </row>
    <row r="75" spans="2:17" ht="12.75" customHeight="1">
      <c r="B75" s="777"/>
      <c r="C75" s="778"/>
      <c r="D75" s="778"/>
      <c r="E75" s="778"/>
      <c r="F75" s="778"/>
      <c r="G75" s="778"/>
      <c r="H75" s="778"/>
      <c r="I75" s="279"/>
      <c r="J75" s="775"/>
      <c r="K75" s="775"/>
      <c r="L75" s="775"/>
      <c r="M75" s="775"/>
      <c r="N75" s="775"/>
      <c r="O75" s="775"/>
      <c r="P75" s="776"/>
      <c r="Q75" s="134"/>
    </row>
    <row r="76" spans="2:17" ht="12.75" customHeight="1">
      <c r="B76" s="777"/>
      <c r="C76" s="778"/>
      <c r="D76" s="778"/>
      <c r="E76" s="778"/>
      <c r="F76" s="778"/>
      <c r="G76" s="778"/>
      <c r="H76" s="778"/>
      <c r="I76" s="279"/>
      <c r="J76" s="775"/>
      <c r="K76" s="775"/>
      <c r="L76" s="775"/>
      <c r="M76" s="775"/>
      <c r="N76" s="775"/>
      <c r="O76" s="775"/>
      <c r="P76" s="776"/>
      <c r="Q76" s="134"/>
    </row>
    <row r="77" spans="2:17" ht="12.75" customHeight="1">
      <c r="B77" s="777"/>
      <c r="C77" s="778"/>
      <c r="D77" s="778"/>
      <c r="E77" s="778"/>
      <c r="F77" s="778"/>
      <c r="G77" s="778"/>
      <c r="H77" s="778"/>
      <c r="I77" s="279"/>
      <c r="J77" s="775"/>
      <c r="K77" s="775"/>
      <c r="L77" s="775"/>
      <c r="M77" s="775"/>
      <c r="N77" s="775"/>
      <c r="O77" s="775"/>
      <c r="P77" s="776"/>
      <c r="Q77" s="134"/>
    </row>
    <row r="78" spans="2:17" ht="12.75" customHeight="1">
      <c r="B78" s="777"/>
      <c r="C78" s="778"/>
      <c r="D78" s="778"/>
      <c r="E78" s="778"/>
      <c r="F78" s="778"/>
      <c r="G78" s="778"/>
      <c r="H78" s="778"/>
      <c r="I78" s="279"/>
      <c r="J78" s="775"/>
      <c r="K78" s="775"/>
      <c r="L78" s="775"/>
      <c r="M78" s="775"/>
      <c r="N78" s="775"/>
      <c r="O78" s="775"/>
      <c r="P78" s="776"/>
      <c r="Q78" s="134"/>
    </row>
    <row r="79" spans="2:17" ht="12.75" customHeight="1">
      <c r="B79" s="777"/>
      <c r="C79" s="778"/>
      <c r="D79" s="778"/>
      <c r="E79" s="778"/>
      <c r="F79" s="778"/>
      <c r="G79" s="778"/>
      <c r="H79" s="778"/>
      <c r="I79" s="279"/>
      <c r="J79" s="775"/>
      <c r="K79" s="775"/>
      <c r="L79" s="775"/>
      <c r="M79" s="775"/>
      <c r="N79" s="775"/>
      <c r="O79" s="775"/>
      <c r="P79" s="776"/>
      <c r="Q79" s="134"/>
    </row>
    <row r="80" spans="2:16" ht="15.75">
      <c r="B80" s="235" t="s">
        <v>153</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66" t="s">
        <v>59</v>
      </c>
      <c r="D82" s="767"/>
      <c r="E82" s="767"/>
      <c r="F82" s="767"/>
      <c r="G82" s="767"/>
      <c r="H82" s="767"/>
      <c r="I82" s="773"/>
      <c r="J82" s="766" t="s">
        <v>60</v>
      </c>
      <c r="K82" s="767"/>
      <c r="L82" s="767"/>
      <c r="M82" s="767"/>
      <c r="N82" s="767"/>
      <c r="O82" s="767"/>
      <c r="P82" s="774"/>
      <c r="Q82" s="314"/>
    </row>
    <row r="83" spans="2:17" ht="71.25">
      <c r="B83" s="558" t="s">
        <v>41</v>
      </c>
      <c r="C83" s="524" t="s">
        <v>62</v>
      </c>
      <c r="D83" s="525" t="s">
        <v>32</v>
      </c>
      <c r="E83" s="525" t="s">
        <v>33</v>
      </c>
      <c r="F83" s="525" t="s">
        <v>34</v>
      </c>
      <c r="G83" s="525" t="s">
        <v>190</v>
      </c>
      <c r="H83" s="525" t="s">
        <v>35</v>
      </c>
      <c r="I83" s="526" t="s">
        <v>36</v>
      </c>
      <c r="J83" s="524" t="s">
        <v>72</v>
      </c>
      <c r="K83" s="525" t="s">
        <v>37</v>
      </c>
      <c r="L83" s="525" t="s">
        <v>38</v>
      </c>
      <c r="M83" s="525" t="s">
        <v>165</v>
      </c>
      <c r="N83" s="525" t="s">
        <v>223</v>
      </c>
      <c r="O83" s="525" t="s">
        <v>39</v>
      </c>
      <c r="P83" s="559" t="s">
        <v>40</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IF(C85="","",C85/1000)</f>
        <v>19.683546300000003</v>
      </c>
      <c r="F85" s="530">
        <f>IF(D85="","",D85/10^6)</f>
        <v>-0.0029597386000000006</v>
      </c>
      <c r="G85" s="280">
        <v>0.87</v>
      </c>
      <c r="H85" s="280">
        <v>0</v>
      </c>
      <c r="I85" s="531">
        <v>4.2</v>
      </c>
      <c r="J85" s="528">
        <v>56074.582</v>
      </c>
      <c r="K85" s="529">
        <f>IF(J85="","",J85+K84)</f>
        <v>66224.1132</v>
      </c>
      <c r="L85" s="530">
        <f>IF(J85="","",J85/1000)</f>
        <v>56.074582</v>
      </c>
      <c r="M85" s="338">
        <f>IF(K85="","",K85/1000000)</f>
        <v>0.0662241132</v>
      </c>
      <c r="N85" s="280">
        <v>2.03</v>
      </c>
      <c r="O85" s="280">
        <v>0.08</v>
      </c>
      <c r="P85" s="560">
        <v>3.92</v>
      </c>
      <c r="Q85" s="532"/>
    </row>
    <row r="86" spans="2:17" ht="14.25">
      <c r="B86" s="305">
        <v>40695</v>
      </c>
      <c r="C86" s="528">
        <v>27795.060599999997</v>
      </c>
      <c r="D86" s="529">
        <f t="shared" si="0"/>
        <v>24835.321999999996</v>
      </c>
      <c r="E86" s="282">
        <f>IF(C86="","",C86/1000)</f>
        <v>27.795060599999996</v>
      </c>
      <c r="F86" s="530">
        <f>IF(D86="","",D86/10^6)</f>
        <v>0.024835321999999996</v>
      </c>
      <c r="G86" s="280">
        <v>0.57</v>
      </c>
      <c r="H86" s="280">
        <v>0</v>
      </c>
      <c r="I86" s="531">
        <v>3.55</v>
      </c>
      <c r="J86" s="528">
        <v>76682.926</v>
      </c>
      <c r="K86" s="529">
        <f>IF(J86="","",J86+K85)</f>
        <v>142907.0392</v>
      </c>
      <c r="L86" s="530">
        <f>IF(J86="","",J86/1000)</f>
        <v>76.68292600000001</v>
      </c>
      <c r="M86" s="338">
        <f>IF(K86="","",K86/1000000)</f>
        <v>0.1429070392</v>
      </c>
      <c r="N86" s="280">
        <v>1.67</v>
      </c>
      <c r="O86" s="280">
        <v>0.07</v>
      </c>
      <c r="P86" s="560">
        <v>4.59</v>
      </c>
      <c r="Q86" s="532"/>
    </row>
    <row r="87" spans="2:17" ht="14.25">
      <c r="B87" s="305">
        <v>40725</v>
      </c>
      <c r="C87" s="528">
        <v>14781.6494</v>
      </c>
      <c r="D87" s="529">
        <f t="shared" si="0"/>
        <v>39616.971399999995</v>
      </c>
      <c r="E87" s="282">
        <f>IF(C87="","",C87/1000)</f>
        <v>14.781649400000001</v>
      </c>
      <c r="F87" s="530">
        <f>IF(D87="","",D87/10^6)</f>
        <v>0.03961697139999999</v>
      </c>
      <c r="G87" s="280">
        <v>1.03</v>
      </c>
      <c r="H87" s="280">
        <v>0</v>
      </c>
      <c r="I87" s="531">
        <v>5.27</v>
      </c>
      <c r="J87" s="528">
        <v>34339.392100000005</v>
      </c>
      <c r="K87" s="529">
        <f>IF(J87="","",J87+K86)</f>
        <v>177246.4313</v>
      </c>
      <c r="L87" s="530">
        <f>IF(J87="","",J87/1000)</f>
        <v>34.339392100000005</v>
      </c>
      <c r="M87" s="338">
        <f>IF(K87="","",K87/1000000)</f>
        <v>0.1772464313</v>
      </c>
      <c r="N87" s="280">
        <v>2.13</v>
      </c>
      <c r="O87" s="280">
        <v>0.04</v>
      </c>
      <c r="P87" s="560">
        <v>5.4</v>
      </c>
      <c r="Q87" s="532"/>
    </row>
    <row r="88" spans="2:17" ht="14.25">
      <c r="B88" s="305">
        <v>40756</v>
      </c>
      <c r="C88" s="528">
        <v>14993.860200000001</v>
      </c>
      <c r="D88" s="529">
        <f t="shared" si="0"/>
        <v>54610.8316</v>
      </c>
      <c r="E88" s="282">
        <f>IF(C88="","",C88/1000)</f>
        <v>14.9938602</v>
      </c>
      <c r="F88" s="530">
        <f aca="true" t="shared" si="1" ref="F88:F95">IF(D88="","",D88/10^6)</f>
        <v>0.0546108316</v>
      </c>
      <c r="G88" s="280">
        <v>1.02</v>
      </c>
      <c r="H88" s="280">
        <v>0</v>
      </c>
      <c r="I88" s="336">
        <v>4.15</v>
      </c>
      <c r="J88" s="528">
        <v>43521.00229999999</v>
      </c>
      <c r="K88" s="529">
        <f>IF(J88="","",J88+K87)</f>
        <v>220767.4336</v>
      </c>
      <c r="L88" s="530">
        <f>IF(J88="","",J88/1000)</f>
        <v>43.52100229999999</v>
      </c>
      <c r="M88" s="338">
        <f aca="true" t="shared" si="2" ref="M88:M95">IF(K88="","",K88/1000000)</f>
        <v>0.22076743359999998</v>
      </c>
      <c r="N88" s="280">
        <v>2.12</v>
      </c>
      <c r="O88" s="280">
        <v>0.04</v>
      </c>
      <c r="P88" s="561">
        <v>5.11</v>
      </c>
      <c r="Q88" s="532"/>
    </row>
    <row r="89" spans="2:17" ht="14.25">
      <c r="B89" s="305">
        <v>40787</v>
      </c>
      <c r="C89" s="528">
        <v>-13836.405200000001</v>
      </c>
      <c r="D89" s="529">
        <f t="shared" si="0"/>
        <v>40774.4264</v>
      </c>
      <c r="E89" s="282">
        <f>IF(C89="","",C89/1000)</f>
        <v>-13.836405200000002</v>
      </c>
      <c r="F89" s="530">
        <f t="shared" si="1"/>
        <v>0.040774426399999994</v>
      </c>
      <c r="G89" s="280">
        <v>2.79</v>
      </c>
      <c r="H89" s="280">
        <v>0</v>
      </c>
      <c r="I89" s="336">
        <v>21.17</v>
      </c>
      <c r="J89" s="528">
        <v>-48607.7043</v>
      </c>
      <c r="K89" s="529">
        <f>IF(J89="","",J89+K88)</f>
        <v>172159.7293</v>
      </c>
      <c r="L89" s="530">
        <f>IF(J89="","",J89/1000)</f>
        <v>-48.607704299999995</v>
      </c>
      <c r="M89" s="338">
        <f t="shared" si="2"/>
        <v>0.1721597293</v>
      </c>
      <c r="N89" s="280">
        <v>3.41</v>
      </c>
      <c r="O89" s="280">
        <v>0.29</v>
      </c>
      <c r="P89" s="561">
        <v>12.5</v>
      </c>
      <c r="Q89" s="532"/>
    </row>
    <row r="90" spans="2:17" ht="14.25">
      <c r="B90" s="305">
        <v>40817</v>
      </c>
      <c r="C90" s="528">
        <v>-22672.8296</v>
      </c>
      <c r="D90" s="529">
        <f t="shared" si="0"/>
        <v>18101.596799999996</v>
      </c>
      <c r="E90" s="282">
        <f aca="true" t="shared" si="3" ref="E90:E95">IF(C90="","",C90/1000)</f>
        <v>-22.6728296</v>
      </c>
      <c r="F90" s="530">
        <f>IF(D90="","",D90/10^6)</f>
        <v>0.018101596799999994</v>
      </c>
      <c r="G90" s="280">
        <v>3.23</v>
      </c>
      <c r="H90" s="280">
        <v>0</v>
      </c>
      <c r="I90" s="336">
        <v>42.68</v>
      </c>
      <c r="J90" s="528">
        <v>-87209.54409999997</v>
      </c>
      <c r="K90" s="529">
        <f aca="true" t="shared" si="4" ref="K90:K95">IF(J90="","",J90+K89)</f>
        <v>84950.18520000004</v>
      </c>
      <c r="L90" s="530">
        <f aca="true" t="shared" si="5" ref="L90:L95">IF(J90="","",J90/1000)</f>
        <v>-87.20954409999997</v>
      </c>
      <c r="M90" s="338">
        <f>IF(K90="","",K90/1000000)</f>
        <v>0.08495018520000004</v>
      </c>
      <c r="N90" s="280">
        <v>3.93</v>
      </c>
      <c r="O90" s="280">
        <v>0.57</v>
      </c>
      <c r="P90" s="561">
        <v>15.56</v>
      </c>
      <c r="Q90" s="532"/>
    </row>
    <row r="91" spans="2:17" ht="14.25">
      <c r="B91" s="305">
        <v>40848</v>
      </c>
      <c r="C91" s="528">
        <v>15422.562600000001</v>
      </c>
      <c r="D91" s="529">
        <f>IF(C91="","",(C91+D90))</f>
        <v>33524.1594</v>
      </c>
      <c r="E91" s="282">
        <f t="shared" si="3"/>
        <v>15.422562600000001</v>
      </c>
      <c r="F91" s="530">
        <f>IF(D91="","",D91/10^6)</f>
        <v>0.033524159399999996</v>
      </c>
      <c r="G91" s="280">
        <v>1.05</v>
      </c>
      <c r="H91" s="280">
        <v>0</v>
      </c>
      <c r="I91" s="336">
        <v>7.99</v>
      </c>
      <c r="J91" s="528">
        <v>6228.170100000003</v>
      </c>
      <c r="K91" s="529">
        <f t="shared" si="4"/>
        <v>91178.35530000004</v>
      </c>
      <c r="L91" s="530">
        <f t="shared" si="5"/>
        <v>6.228170100000003</v>
      </c>
      <c r="M91" s="338">
        <f>IF(K91="","",K91/1000000)</f>
        <v>0.09117835530000004</v>
      </c>
      <c r="N91" s="280">
        <v>2.42</v>
      </c>
      <c r="O91" s="280">
        <v>0.03</v>
      </c>
      <c r="P91" s="561">
        <v>8.78</v>
      </c>
      <c r="Q91" s="532"/>
    </row>
    <row r="92" spans="2:17" ht="14.25">
      <c r="B92" s="305">
        <v>40878</v>
      </c>
      <c r="C92" s="528">
        <v>-7574.233</v>
      </c>
      <c r="D92" s="529">
        <f>IF(C92="","",(C92+D91))</f>
        <v>25949.926399999997</v>
      </c>
      <c r="E92" s="282">
        <f t="shared" si="3"/>
        <v>-7.574233</v>
      </c>
      <c r="F92" s="530">
        <f t="shared" si="1"/>
        <v>0.025949926399999997</v>
      </c>
      <c r="G92" s="280">
        <v>2.4</v>
      </c>
      <c r="H92" s="280">
        <v>0</v>
      </c>
      <c r="I92" s="336">
        <v>27.03</v>
      </c>
      <c r="J92" s="528">
        <v>22728.3884</v>
      </c>
      <c r="K92" s="529">
        <f t="shared" si="4"/>
        <v>113906.74370000004</v>
      </c>
      <c r="L92" s="530">
        <f t="shared" si="5"/>
        <v>22.7283884</v>
      </c>
      <c r="M92" s="338">
        <f t="shared" si="2"/>
        <v>0.11390674370000003</v>
      </c>
      <c r="N92" s="280">
        <v>2.29</v>
      </c>
      <c r="O92" s="280">
        <v>0.04</v>
      </c>
      <c r="P92" s="561">
        <v>9.3</v>
      </c>
      <c r="Q92" s="532"/>
    </row>
    <row r="93" spans="2:17" ht="14.25">
      <c r="B93" s="305">
        <v>40909</v>
      </c>
      <c r="C93" s="528"/>
      <c r="D93" s="529">
        <f>IF(C93="","",(C93+D92))</f>
      </c>
      <c r="E93" s="282">
        <f t="shared" si="3"/>
      </c>
      <c r="F93" s="530">
        <f t="shared" si="1"/>
      </c>
      <c r="G93" s="280"/>
      <c r="H93" s="280"/>
      <c r="I93" s="531"/>
      <c r="J93" s="528"/>
      <c r="K93" s="529">
        <f t="shared" si="4"/>
      </c>
      <c r="L93" s="530">
        <f t="shared" si="5"/>
      </c>
      <c r="M93" s="338">
        <f t="shared" si="2"/>
      </c>
      <c r="N93" s="280"/>
      <c r="O93" s="280"/>
      <c r="P93" s="560"/>
      <c r="Q93" s="532"/>
    </row>
    <row r="94" spans="2:17" ht="14.25">
      <c r="B94" s="305">
        <v>40940</v>
      </c>
      <c r="C94" s="528"/>
      <c r="D94" s="529">
        <f>IF(C94="","",(C94+D93))</f>
      </c>
      <c r="E94" s="282">
        <f t="shared" si="3"/>
      </c>
      <c r="F94" s="530">
        <f t="shared" si="1"/>
      </c>
      <c r="G94" s="280"/>
      <c r="H94" s="280"/>
      <c r="I94" s="531"/>
      <c r="J94" s="528"/>
      <c r="K94" s="529">
        <f t="shared" si="4"/>
      </c>
      <c r="L94" s="530">
        <f t="shared" si="5"/>
      </c>
      <c r="M94" s="338">
        <f t="shared" si="2"/>
      </c>
      <c r="N94" s="280"/>
      <c r="O94" s="280"/>
      <c r="P94" s="560"/>
      <c r="Q94" s="532"/>
    </row>
    <row r="95" spans="2:17" ht="15" thickBot="1">
      <c r="B95" s="562">
        <v>40969</v>
      </c>
      <c r="C95" s="533"/>
      <c r="D95" s="534">
        <f>IF(C95="","",(C95+D94))</f>
      </c>
      <c r="E95" s="311">
        <f t="shared" si="3"/>
      </c>
      <c r="F95" s="535">
        <f t="shared" si="1"/>
      </c>
      <c r="G95" s="290"/>
      <c r="H95" s="290"/>
      <c r="I95" s="536"/>
      <c r="J95" s="533"/>
      <c r="K95" s="534">
        <f t="shared" si="4"/>
      </c>
      <c r="L95" s="535">
        <f t="shared" si="5"/>
      </c>
      <c r="M95" s="537">
        <f t="shared" si="2"/>
      </c>
      <c r="N95" s="290"/>
      <c r="O95" s="290"/>
      <c r="P95" s="563"/>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66" t="s">
        <v>61</v>
      </c>
      <c r="D98" s="767"/>
      <c r="E98" s="767"/>
      <c r="F98" s="767"/>
      <c r="G98" s="767"/>
      <c r="H98" s="768"/>
      <c r="I98" s="768"/>
      <c r="J98" s="768"/>
      <c r="K98" s="768"/>
      <c r="L98" s="768"/>
      <c r="M98" s="769"/>
      <c r="N98" s="212"/>
      <c r="O98" s="212"/>
      <c r="P98" s="246"/>
      <c r="R98" s="212"/>
    </row>
    <row r="99" spans="2:18" ht="42.75">
      <c r="B99" s="558" t="s">
        <v>41</v>
      </c>
      <c r="C99" s="524" t="s">
        <v>43</v>
      </c>
      <c r="D99" s="525" t="s">
        <v>42</v>
      </c>
      <c r="E99" s="525" t="s">
        <v>42</v>
      </c>
      <c r="F99" s="538" t="s">
        <v>44</v>
      </c>
      <c r="G99" s="525" t="s">
        <v>45</v>
      </c>
      <c r="H99" s="525" t="s">
        <v>63</v>
      </c>
      <c r="I99" s="525" t="s">
        <v>86</v>
      </c>
      <c r="J99" s="538" t="s">
        <v>66</v>
      </c>
      <c r="K99" s="525" t="s">
        <v>67</v>
      </c>
      <c r="L99" s="525" t="s">
        <v>64</v>
      </c>
      <c r="M99" s="526" t="s">
        <v>65</v>
      </c>
      <c r="N99" s="539"/>
      <c r="O99" s="565"/>
      <c r="P99" s="566"/>
      <c r="R99" s="212"/>
    </row>
    <row r="100" spans="2:18" ht="14.25">
      <c r="B100" s="305">
        <v>40634</v>
      </c>
      <c r="C100" s="329">
        <v>1465355</v>
      </c>
      <c r="D100" s="182">
        <v>953389270</v>
      </c>
      <c r="E100" s="540">
        <f>D100*-1</f>
        <v>-953389270</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94544705</v>
      </c>
      <c r="D101" s="182">
        <v>583269904</v>
      </c>
      <c r="E101" s="540">
        <f>IF(D101="","",D101*-1)</f>
        <v>-583269904</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59874405</v>
      </c>
      <c r="D102" s="182">
        <v>393389203</v>
      </c>
      <c r="E102" s="540">
        <f>IF(D102="","",D102*-1)</f>
        <v>-393389203</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v>127544499</v>
      </c>
      <c r="D103" s="182">
        <v>771568021.6999999</v>
      </c>
      <c r="E103" s="540">
        <f>IF(D103="","",D103*-1)</f>
        <v>-771568021.6999999</v>
      </c>
      <c r="F103" s="289">
        <v>42</v>
      </c>
      <c r="G103" s="289">
        <v>-332</v>
      </c>
      <c r="H103" s="289">
        <v>4</v>
      </c>
      <c r="I103" s="541">
        <v>-15</v>
      </c>
      <c r="J103" s="542">
        <v>-50.8</v>
      </c>
      <c r="K103" s="542">
        <v>-57.15</v>
      </c>
      <c r="L103" s="542">
        <v>53.2</v>
      </c>
      <c r="M103" s="545">
        <v>57.65</v>
      </c>
      <c r="N103" s="212"/>
      <c r="O103" s="212"/>
      <c r="P103" s="246"/>
      <c r="R103" s="212"/>
    </row>
    <row r="104" spans="2:18" ht="14.25">
      <c r="B104" s="305">
        <v>40756</v>
      </c>
      <c r="C104" s="329">
        <v>217517296.2</v>
      </c>
      <c r="D104" s="182">
        <v>388494917.59999996</v>
      </c>
      <c r="E104" s="540">
        <f>IF(D104="","",D104*-1)</f>
        <v>-388494917.59999996</v>
      </c>
      <c r="F104" s="289">
        <v>97</v>
      </c>
      <c r="G104" s="289">
        <v>-178</v>
      </c>
      <c r="H104" s="289">
        <v>9</v>
      </c>
      <c r="I104" s="541">
        <v>-10</v>
      </c>
      <c r="J104" s="542">
        <v>-50.02</v>
      </c>
      <c r="K104" s="542">
        <v>-57.95</v>
      </c>
      <c r="L104" s="542">
        <v>50.95</v>
      </c>
      <c r="M104" s="545">
        <v>61.4</v>
      </c>
      <c r="N104" s="212"/>
      <c r="O104" s="212"/>
      <c r="P104" s="246"/>
      <c r="R104" s="212"/>
    </row>
    <row r="105" spans="2:18" ht="14.25">
      <c r="B105" s="305">
        <v>40787</v>
      </c>
      <c r="C105" s="329">
        <v>97299572</v>
      </c>
      <c r="D105" s="182">
        <v>735373753.1999999</v>
      </c>
      <c r="E105" s="540">
        <f>IF(D105="","",D105*-1)</f>
        <v>-735373753.1999999</v>
      </c>
      <c r="F105" s="289">
        <v>37</v>
      </c>
      <c r="G105" s="289">
        <v>-316</v>
      </c>
      <c r="H105" s="289">
        <v>5</v>
      </c>
      <c r="I105" s="541">
        <v>-11</v>
      </c>
      <c r="J105" s="542">
        <v>-33.25</v>
      </c>
      <c r="K105" s="542">
        <v>-58.75</v>
      </c>
      <c r="L105" s="542">
        <v>56</v>
      </c>
      <c r="M105" s="545">
        <v>61.25</v>
      </c>
      <c r="N105" s="212"/>
      <c r="O105" s="212"/>
      <c r="P105" s="246"/>
      <c r="R105" s="212"/>
    </row>
    <row r="106" spans="2:18" ht="14.25">
      <c r="B106" s="305">
        <v>40817</v>
      </c>
      <c r="C106" s="329">
        <v>207963181.6</v>
      </c>
      <c r="D106" s="546">
        <v>721071888.4</v>
      </c>
      <c r="E106" s="540">
        <f aca="true" t="shared" si="6" ref="E106:E111">IF(D106="","",D106*-1)</f>
        <v>-721071888.4</v>
      </c>
      <c r="F106" s="289">
        <v>83</v>
      </c>
      <c r="G106" s="289">
        <v>-287</v>
      </c>
      <c r="H106" s="289">
        <v>6</v>
      </c>
      <c r="I106" s="541">
        <v>-13</v>
      </c>
      <c r="J106" s="542">
        <v>-25.5</v>
      </c>
      <c r="K106" s="542">
        <v>-62.05</v>
      </c>
      <c r="L106" s="542">
        <v>44.75</v>
      </c>
      <c r="M106" s="545">
        <v>63</v>
      </c>
      <c r="N106" s="212"/>
      <c r="O106" s="212"/>
      <c r="P106" s="246"/>
      <c r="R106" s="212"/>
    </row>
    <row r="107" spans="2:18" ht="14.25">
      <c r="B107" s="305">
        <v>40848</v>
      </c>
      <c r="C107" s="329">
        <v>342160392.5</v>
      </c>
      <c r="D107" s="546">
        <v>125991222.89999999</v>
      </c>
      <c r="E107" s="540">
        <f t="shared" si="6"/>
        <v>-125991222.89999999</v>
      </c>
      <c r="F107" s="289">
        <v>121</v>
      </c>
      <c r="G107" s="289">
        <v>-53</v>
      </c>
      <c r="H107" s="289">
        <v>9</v>
      </c>
      <c r="I107" s="541">
        <v>-6</v>
      </c>
      <c r="J107" s="542">
        <v>-51.25</v>
      </c>
      <c r="K107" s="542">
        <v>-60.65</v>
      </c>
      <c r="L107" s="542">
        <v>54.6</v>
      </c>
      <c r="M107" s="545">
        <v>63.5</v>
      </c>
      <c r="N107" s="212"/>
      <c r="O107" s="212"/>
      <c r="P107" s="246"/>
      <c r="R107" s="212"/>
    </row>
    <row r="108" spans="2:18" ht="14.25">
      <c r="B108" s="305">
        <v>40878</v>
      </c>
      <c r="C108" s="329">
        <v>250136098.5</v>
      </c>
      <c r="D108" s="546">
        <v>285216697.2</v>
      </c>
      <c r="E108" s="540">
        <f t="shared" si="6"/>
        <v>-285216697.2</v>
      </c>
      <c r="F108" s="289">
        <v>94</v>
      </c>
      <c r="G108" s="289">
        <v>-136</v>
      </c>
      <c r="H108" s="289">
        <v>11</v>
      </c>
      <c r="I108" s="541">
        <v>-9</v>
      </c>
      <c r="J108" s="542">
        <v>-36</v>
      </c>
      <c r="K108" s="542">
        <v>-58.5</v>
      </c>
      <c r="L108" s="542">
        <v>52.95</v>
      </c>
      <c r="M108" s="545">
        <v>60</v>
      </c>
      <c r="N108" s="212"/>
      <c r="O108" s="212"/>
      <c r="P108" s="246"/>
      <c r="R108" s="212"/>
    </row>
    <row r="109" spans="2:18" ht="14.25">
      <c r="B109" s="305">
        <v>40909</v>
      </c>
      <c r="C109" s="329"/>
      <c r="D109" s="182"/>
      <c r="E109" s="540">
        <f t="shared" si="6"/>
      </c>
      <c r="F109" s="289"/>
      <c r="G109" s="289"/>
      <c r="H109" s="289"/>
      <c r="I109" s="541"/>
      <c r="J109" s="542"/>
      <c r="K109" s="542"/>
      <c r="L109" s="542"/>
      <c r="M109" s="545"/>
      <c r="N109" s="212"/>
      <c r="O109" s="212"/>
      <c r="P109" s="246"/>
      <c r="R109" s="212"/>
    </row>
    <row r="110" spans="2:18" ht="14.25">
      <c r="B110" s="305">
        <v>40940</v>
      </c>
      <c r="C110" s="329"/>
      <c r="D110" s="182"/>
      <c r="E110" s="540">
        <f t="shared" si="6"/>
      </c>
      <c r="F110" s="289"/>
      <c r="G110" s="289"/>
      <c r="H110" s="289"/>
      <c r="I110" s="541"/>
      <c r="J110" s="542"/>
      <c r="K110" s="542"/>
      <c r="L110" s="542"/>
      <c r="M110" s="545"/>
      <c r="N110" s="212"/>
      <c r="O110" s="212"/>
      <c r="P110" s="246"/>
      <c r="R110" s="212"/>
    </row>
    <row r="111" spans="2:18" ht="15" thickBot="1">
      <c r="B111" s="562">
        <v>40969</v>
      </c>
      <c r="C111" s="547"/>
      <c r="D111" s="193"/>
      <c r="E111" s="548">
        <f t="shared" si="6"/>
      </c>
      <c r="F111" s="549"/>
      <c r="G111" s="549"/>
      <c r="H111" s="549"/>
      <c r="I111" s="550"/>
      <c r="J111" s="551"/>
      <c r="K111" s="551"/>
      <c r="L111" s="551"/>
      <c r="M111" s="552"/>
      <c r="N111" s="212"/>
      <c r="O111" s="212"/>
      <c r="P111" s="246"/>
      <c r="R111" s="212"/>
    </row>
    <row r="112" spans="2:16" ht="14.25">
      <c r="B112" s="245"/>
      <c r="C112" s="567" t="s">
        <v>82</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J27:P29"/>
    <mergeCell ref="J31:P38"/>
    <mergeCell ref="C98:M98"/>
    <mergeCell ref="C6:P6"/>
    <mergeCell ref="C82:I82"/>
    <mergeCell ref="J82:P82"/>
    <mergeCell ref="J25:P25"/>
    <mergeCell ref="J8:P8"/>
    <mergeCell ref="J10:P12"/>
    <mergeCell ref="J71:P79"/>
    <mergeCell ref="B71:H79"/>
    <mergeCell ref="J14:P19"/>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B2" sqref="B2"/>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265</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154</v>
      </c>
      <c r="C4" s="212"/>
      <c r="D4" s="212"/>
      <c r="E4" s="212"/>
      <c r="F4" s="212"/>
      <c r="G4" s="212"/>
      <c r="H4" s="212"/>
      <c r="I4" s="246"/>
    </row>
    <row r="5" spans="2:9" ht="12" thickBot="1">
      <c r="B5" s="245"/>
      <c r="C5" s="212"/>
      <c r="D5" s="212"/>
      <c r="E5" s="212"/>
      <c r="F5" s="212"/>
      <c r="G5" s="212"/>
      <c r="H5" s="212"/>
      <c r="I5" s="246"/>
    </row>
    <row r="6" spans="2:9" s="268" customFormat="1" ht="131.25" customHeight="1">
      <c r="B6" s="581" t="s">
        <v>70</v>
      </c>
      <c r="C6" s="783" t="s">
        <v>273</v>
      </c>
      <c r="D6" s="783"/>
      <c r="E6" s="783"/>
      <c r="F6" s="783"/>
      <c r="G6" s="783"/>
      <c r="H6" s="783"/>
      <c r="I6" s="784"/>
    </row>
    <row r="7" spans="2:9" ht="11.25">
      <c r="B7" s="245"/>
      <c r="C7" s="300"/>
      <c r="D7" s="212"/>
      <c r="E7" s="212"/>
      <c r="F7" s="212"/>
      <c r="G7" s="212"/>
      <c r="H7" s="212"/>
      <c r="I7" s="246"/>
    </row>
    <row r="8" spans="2:9" ht="15">
      <c r="B8" s="245"/>
      <c r="C8" s="300"/>
      <c r="D8" s="212"/>
      <c r="E8" s="212"/>
      <c r="F8" s="698" t="s">
        <v>159</v>
      </c>
      <c r="G8" s="699"/>
      <c r="H8" s="699"/>
      <c r="I8" s="700"/>
    </row>
    <row r="9" spans="2:9" ht="14.25">
      <c r="B9" s="245"/>
      <c r="C9" s="300"/>
      <c r="D9" s="212"/>
      <c r="E9" s="212"/>
      <c r="F9" s="489"/>
      <c r="G9" s="568"/>
      <c r="H9" s="568"/>
      <c r="I9" s="228"/>
    </row>
    <row r="10" spans="2:9" ht="11.25">
      <c r="B10" s="245"/>
      <c r="C10" s="300"/>
      <c r="D10" s="212"/>
      <c r="E10" s="212"/>
      <c r="F10" s="678" t="s">
        <v>215</v>
      </c>
      <c r="G10" s="679"/>
      <c r="H10" s="679"/>
      <c r="I10" s="680"/>
    </row>
    <row r="11" spans="2:9" ht="15.75" customHeight="1">
      <c r="B11" s="245"/>
      <c r="C11" s="300"/>
      <c r="D11" s="212"/>
      <c r="E11" s="212"/>
      <c r="F11" s="678"/>
      <c r="G11" s="679"/>
      <c r="H11" s="679"/>
      <c r="I11" s="680"/>
    </row>
    <row r="12" spans="2:9" ht="14.25">
      <c r="B12" s="245"/>
      <c r="C12" s="300"/>
      <c r="D12" s="212"/>
      <c r="E12" s="212"/>
      <c r="F12" s="148"/>
      <c r="G12" s="149"/>
      <c r="H12" s="569"/>
      <c r="I12" s="582"/>
    </row>
    <row r="13" spans="2:9" ht="11.25" customHeight="1">
      <c r="B13" s="245"/>
      <c r="C13" s="300"/>
      <c r="D13" s="212"/>
      <c r="E13" s="212"/>
      <c r="F13" s="780" t="s">
        <v>274</v>
      </c>
      <c r="G13" s="781"/>
      <c r="H13" s="781"/>
      <c r="I13" s="782"/>
    </row>
    <row r="14" spans="2:9" ht="11.25" customHeight="1">
      <c r="B14" s="245"/>
      <c r="C14" s="300"/>
      <c r="D14" s="212"/>
      <c r="E14" s="212"/>
      <c r="F14" s="780"/>
      <c r="G14" s="781"/>
      <c r="H14" s="781"/>
      <c r="I14" s="782"/>
    </row>
    <row r="15" spans="2:9" ht="11.25" customHeight="1">
      <c r="B15" s="245"/>
      <c r="C15" s="300"/>
      <c r="D15" s="212"/>
      <c r="E15" s="212"/>
      <c r="F15" s="780"/>
      <c r="G15" s="781"/>
      <c r="H15" s="781"/>
      <c r="I15" s="782"/>
    </row>
    <row r="16" spans="2:9" ht="11.25" customHeight="1">
      <c r="B16" s="245"/>
      <c r="C16" s="300"/>
      <c r="D16" s="212"/>
      <c r="E16" s="212"/>
      <c r="F16" s="780"/>
      <c r="G16" s="781"/>
      <c r="H16" s="781"/>
      <c r="I16" s="782"/>
    </row>
    <row r="17" spans="2:9" ht="11.25" customHeight="1">
      <c r="B17" s="245"/>
      <c r="C17" s="300"/>
      <c r="D17" s="212"/>
      <c r="E17" s="212"/>
      <c r="F17" s="780"/>
      <c r="G17" s="781"/>
      <c r="H17" s="781"/>
      <c r="I17" s="782"/>
    </row>
    <row r="18" spans="2:9" ht="11.25" customHeight="1">
      <c r="B18" s="245"/>
      <c r="C18" s="300"/>
      <c r="D18" s="212"/>
      <c r="E18" s="212"/>
      <c r="F18" s="780"/>
      <c r="G18" s="781"/>
      <c r="H18" s="781"/>
      <c r="I18" s="782"/>
    </row>
    <row r="19" spans="2:9" ht="21.75" customHeight="1">
      <c r="B19" s="245"/>
      <c r="C19" s="300"/>
      <c r="D19" s="212"/>
      <c r="E19" s="212"/>
      <c r="F19" s="780"/>
      <c r="G19" s="781"/>
      <c r="H19" s="781"/>
      <c r="I19" s="782"/>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152</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79" t="s">
        <v>5</v>
      </c>
      <c r="C50" s="775"/>
      <c r="D50" s="775"/>
      <c r="E50" s="775"/>
      <c r="F50" s="775"/>
      <c r="G50" s="775"/>
      <c r="H50" s="775"/>
      <c r="I50" s="776"/>
    </row>
    <row r="51" spans="2:9" ht="11.25" customHeight="1">
      <c r="B51" s="779"/>
      <c r="C51" s="775"/>
      <c r="D51" s="775"/>
      <c r="E51" s="775"/>
      <c r="F51" s="775"/>
      <c r="G51" s="775"/>
      <c r="H51" s="775"/>
      <c r="I51" s="776"/>
    </row>
    <row r="52" spans="2:9" ht="11.25" customHeight="1">
      <c r="B52" s="779"/>
      <c r="C52" s="775"/>
      <c r="D52" s="775"/>
      <c r="E52" s="775"/>
      <c r="F52" s="775"/>
      <c r="G52" s="775"/>
      <c r="H52" s="775"/>
      <c r="I52" s="776"/>
    </row>
    <row r="53" spans="2:9" ht="11.25" customHeight="1">
      <c r="B53" s="779"/>
      <c r="C53" s="775"/>
      <c r="D53" s="775"/>
      <c r="E53" s="775"/>
      <c r="F53" s="775"/>
      <c r="G53" s="775"/>
      <c r="H53" s="775"/>
      <c r="I53" s="776"/>
    </row>
    <row r="54" spans="2:9" ht="11.25" customHeight="1">
      <c r="B54" s="779"/>
      <c r="C54" s="775"/>
      <c r="D54" s="775"/>
      <c r="E54" s="775"/>
      <c r="F54" s="775"/>
      <c r="G54" s="775"/>
      <c r="H54" s="775"/>
      <c r="I54" s="776"/>
    </row>
    <row r="55" spans="2:9" ht="11.25" customHeight="1">
      <c r="B55" s="779"/>
      <c r="C55" s="775"/>
      <c r="D55" s="775"/>
      <c r="E55" s="775"/>
      <c r="F55" s="775"/>
      <c r="G55" s="775"/>
      <c r="H55" s="775"/>
      <c r="I55" s="776"/>
    </row>
    <row r="56" spans="2:9" ht="11.25" customHeight="1">
      <c r="B56" s="779"/>
      <c r="C56" s="775"/>
      <c r="D56" s="775"/>
      <c r="E56" s="775"/>
      <c r="F56" s="775"/>
      <c r="G56" s="775"/>
      <c r="H56" s="775"/>
      <c r="I56" s="776"/>
    </row>
    <row r="57" spans="2:9" ht="11.25" customHeight="1">
      <c r="B57" s="779"/>
      <c r="C57" s="775"/>
      <c r="D57" s="775"/>
      <c r="E57" s="775"/>
      <c r="F57" s="775"/>
      <c r="G57" s="775"/>
      <c r="H57" s="775"/>
      <c r="I57" s="776"/>
    </row>
    <row r="58" spans="2:9" ht="11.25">
      <c r="B58" s="245"/>
      <c r="C58" s="300"/>
      <c r="D58" s="212"/>
      <c r="E58" s="212"/>
      <c r="F58" s="212"/>
      <c r="G58" s="212"/>
      <c r="H58" s="212"/>
      <c r="I58" s="246"/>
    </row>
    <row r="59" spans="2:9" ht="15.75">
      <c r="B59" s="227" t="s">
        <v>153</v>
      </c>
      <c r="C59" s="300"/>
      <c r="D59" s="212"/>
      <c r="E59" s="212"/>
      <c r="F59" s="212"/>
      <c r="G59" s="212"/>
      <c r="H59" s="212"/>
      <c r="I59" s="246"/>
    </row>
    <row r="60" spans="2:9" ht="12" thickBot="1">
      <c r="B60" s="245"/>
      <c r="C60" s="212"/>
      <c r="D60" s="212"/>
      <c r="E60" s="212"/>
      <c r="F60" s="212"/>
      <c r="G60" s="212"/>
      <c r="H60" s="212"/>
      <c r="I60" s="246"/>
    </row>
    <row r="61" spans="2:10" ht="43.5">
      <c r="B61" s="303" t="s">
        <v>41</v>
      </c>
      <c r="C61" s="573" t="s">
        <v>206</v>
      </c>
      <c r="D61" s="574" t="s">
        <v>207</v>
      </c>
      <c r="E61" s="575"/>
      <c r="F61" s="575"/>
      <c r="G61" s="575"/>
      <c r="H61" s="576"/>
      <c r="I61" s="584"/>
      <c r="J61" s="279"/>
    </row>
    <row r="62" spans="2:10" ht="14.25">
      <c r="B62" s="305">
        <v>40634</v>
      </c>
      <c r="C62" s="182">
        <v>145.078292017228</v>
      </c>
      <c r="D62" s="577">
        <f>C62</f>
        <v>145.078292017228</v>
      </c>
      <c r="E62" s="328"/>
      <c r="F62" s="328"/>
      <c r="G62" s="328"/>
      <c r="H62" s="328"/>
      <c r="I62" s="585"/>
      <c r="J62" s="279"/>
    </row>
    <row r="63" spans="2:10" ht="14.25">
      <c r="B63" s="305">
        <v>40664</v>
      </c>
      <c r="C63" s="182">
        <v>185.10958170000004</v>
      </c>
      <c r="D63" s="577">
        <f>D62+C63</f>
        <v>330.18787371722806</v>
      </c>
      <c r="E63" s="328"/>
      <c r="F63" s="328"/>
      <c r="G63" s="328"/>
      <c r="H63" s="328"/>
      <c r="I63" s="585"/>
      <c r="J63" s="279"/>
    </row>
    <row r="64" spans="2:10" ht="14.25">
      <c r="B64" s="305">
        <v>40695</v>
      </c>
      <c r="C64" s="182">
        <v>216.2280028096</v>
      </c>
      <c r="D64" s="577">
        <f>D63+C64</f>
        <v>546.415876526828</v>
      </c>
      <c r="E64" s="328"/>
      <c r="F64" s="328"/>
      <c r="G64" s="328"/>
      <c r="H64" s="328"/>
      <c r="I64" s="585"/>
      <c r="J64" s="279"/>
    </row>
    <row r="65" spans="2:10" ht="14.25">
      <c r="B65" s="305">
        <v>40725</v>
      </c>
      <c r="C65" s="182">
        <v>288.223919286</v>
      </c>
      <c r="D65" s="577">
        <f>IF(C65&gt;0,C65+D64,"")</f>
        <v>834.639795812828</v>
      </c>
      <c r="E65" s="328"/>
      <c r="F65" s="328"/>
      <c r="G65" s="328"/>
      <c r="H65" s="328"/>
      <c r="I65" s="585"/>
      <c r="J65" s="279"/>
    </row>
    <row r="66" spans="2:10" ht="14.25">
      <c r="B66" s="305">
        <v>40756</v>
      </c>
      <c r="C66" s="182">
        <v>178.54401789831002</v>
      </c>
      <c r="D66" s="577">
        <f aca="true" t="shared" si="0" ref="D66:D73">IF(C66&gt;0,C66+D65,"")</f>
        <v>1013.183813711138</v>
      </c>
      <c r="E66" s="328"/>
      <c r="F66" s="328"/>
      <c r="G66" s="328"/>
      <c r="H66" s="328"/>
      <c r="I66" s="585"/>
      <c r="J66" s="279"/>
    </row>
    <row r="67" spans="2:10" ht="14.25">
      <c r="B67" s="305">
        <v>40787</v>
      </c>
      <c r="C67" s="182">
        <v>230.28100817757914</v>
      </c>
      <c r="D67" s="577">
        <f t="shared" si="0"/>
        <v>1243.464821888717</v>
      </c>
      <c r="E67" s="328"/>
      <c r="F67" s="328"/>
      <c r="G67" s="328"/>
      <c r="H67" s="328"/>
      <c r="I67" s="585"/>
      <c r="J67" s="279"/>
    </row>
    <row r="68" spans="2:9" ht="14.25">
      <c r="B68" s="305">
        <v>40817</v>
      </c>
      <c r="C68" s="182">
        <v>225.43571221</v>
      </c>
      <c r="D68" s="577">
        <f>IF(C68&gt;0,C68+D67,"")</f>
        <v>1468.9005340987171</v>
      </c>
      <c r="E68" s="328"/>
      <c r="F68" s="328"/>
      <c r="G68" s="328"/>
      <c r="H68" s="578"/>
      <c r="I68" s="586"/>
    </row>
    <row r="69" spans="2:9" ht="14.25">
      <c r="B69" s="305">
        <v>40848</v>
      </c>
      <c r="C69" s="182">
        <v>273.94637959999994</v>
      </c>
      <c r="D69" s="577">
        <f>IF(C69&gt;0,C69+D68,"")</f>
        <v>1742.8469136987171</v>
      </c>
      <c r="E69" s="328"/>
      <c r="F69" s="328"/>
      <c r="G69" s="328"/>
      <c r="H69" s="578"/>
      <c r="I69" s="586"/>
    </row>
    <row r="70" spans="2:10" ht="14.25">
      <c r="B70" s="305">
        <v>40878</v>
      </c>
      <c r="C70" s="182">
        <v>360.17</v>
      </c>
      <c r="D70" s="577">
        <f>IF(C70&gt;0,C70+D69,"")</f>
        <v>2103.016913698717</v>
      </c>
      <c r="E70" s="328"/>
      <c r="F70" s="328"/>
      <c r="G70" s="328"/>
      <c r="H70" s="328"/>
      <c r="I70" s="585"/>
      <c r="J70" s="279"/>
    </row>
    <row r="71" spans="2:10" ht="14.25">
      <c r="B71" s="305">
        <v>40909</v>
      </c>
      <c r="C71" s="182"/>
      <c r="D71" s="577">
        <f t="shared" si="0"/>
      </c>
      <c r="E71" s="328"/>
      <c r="F71" s="328"/>
      <c r="G71" s="328"/>
      <c r="H71" s="328"/>
      <c r="I71" s="585"/>
      <c r="J71" s="279"/>
    </row>
    <row r="72" spans="2:10" ht="14.25">
      <c r="B72" s="305">
        <v>40940</v>
      </c>
      <c r="C72" s="182"/>
      <c r="D72" s="577">
        <f t="shared" si="0"/>
      </c>
      <c r="E72" s="328"/>
      <c r="F72" s="328"/>
      <c r="G72" s="328"/>
      <c r="H72" s="328"/>
      <c r="I72" s="585"/>
      <c r="J72" s="279"/>
    </row>
    <row r="73" spans="2:10" ht="15" thickBot="1">
      <c r="B73" s="305">
        <v>40969</v>
      </c>
      <c r="C73" s="182"/>
      <c r="D73" s="577">
        <f t="shared" si="0"/>
      </c>
      <c r="E73" s="328"/>
      <c r="F73" s="328"/>
      <c r="G73" s="328"/>
      <c r="H73" s="328"/>
      <c r="I73" s="585"/>
      <c r="J73" s="279"/>
    </row>
    <row r="74" spans="2:10" ht="15" thickBot="1">
      <c r="B74" s="587" t="s">
        <v>83</v>
      </c>
      <c r="C74" s="579">
        <f>SUM(C62:C73)</f>
        <v>2103.016913698717</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ben.dickel</cp:lastModifiedBy>
  <cp:lastPrinted>2012-02-03T09:26:30Z</cp:lastPrinted>
  <dcterms:created xsi:type="dcterms:W3CDTF">2010-09-06T06:56:51Z</dcterms:created>
  <dcterms:modified xsi:type="dcterms:W3CDTF">2012-03-09T13:56:30Z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