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8625"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<sst xmlns="http://schemas.openxmlformats.org/spreadsheetml/2006/main" count="500" uniqueCount="295">
  <si>
    <t>Volume of Operating Margins (GWh)</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</si>
  <si>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Q1 position is a Cumulative Absolute UAG of 1,466 GWh.</t>
  </si>
  <si>
    <t>Outturn -Shrinkage Electricity (GWh)</t>
  </si>
  <si>
    <t>Cumulative Outturn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</si>
  <si>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position of the indicative target (as of June 2011) is £140.84m.</t>
  </si>
  <si>
    <t>The chart compares cumulative total shrinkage costs (the blue bars) to an indicative cumulative target (the orange line). The current position of the indicative target (as of June 2011) is £140.84m.</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</si>
  <si>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</si>
  <si>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</si>
  <si>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</si>
  <si>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</si>
  <si>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 xml:space="preserve">The chart compares the average Price Performance Measure in the month (the blue line) to the incentive target (the orange line), where the target is a PPM of 1.5%. For Q1, in April the Average PPM was above the desired target (2.72%), but the May and June Average PPM was well within target (0.87% for May and 0.57% for June). </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</si>
  <si>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Q1, in April the Average PPM was above the desired target (2.72%), but the May and June Average PPM was well within target (0.87% for May and 0.57% for June).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</si>
  <si>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Q1 position is a vented mass of 546 tonnes.</t>
  </si>
  <si>
    <t>The chart compares the cumulative mass of natural gas vented (the blue columns) to a cumulative target (the orange band). The Q1 position is a vented mass of 546 tonnes.</t>
  </si>
  <si>
    <t>The chart compares cumulative absolute UAG (the blue columns) to a cumulative target (the orange line). The end of Q1 position is a Cumulative Absolute UAG of 1,466 GWh.</t>
  </si>
  <si>
    <t>The chart compares the monthly cumulative absolute forecast error (the blue line) to the incentive target (the orange line), where the target is a cumulative absolute error of 2.75% for the full year. The Cumulative Absolute Percentage Error for Q1 is 3.13%.</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</si>
  <si>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Q1, the LPM was lower than the target (I.E. in the green band) for all three months.</t>
  </si>
  <si>
    <t>The chart compares the average Linepack Measure in the month (the blue line) to the daily incentive target (the orange line), where the target is an LM of 2.8mcm.  For Q1, the LPM was lower than the target (I.E. in the green band) for all three months.</t>
  </si>
  <si>
    <t>The chart compares the average number of minutes for which the incentivised web pages were unavailable in the month (the blue columns) to the incentive target (the orange line), where the target represents 99.3% availability.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</si>
  <si>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chart shows that in Q1, April's performance was above target, but the performance for May and June was below target levels, resulting in an overall Q1 profit of £3,006 for the Timeliness portion of this incentive.</t>
  </si>
  <si>
    <t>The demand forecasting incentive rewards improvements in demand forecasting accuracy. National Grid publishes national gas demand forecasts over a range of timescales. Since Winter 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</si>
  <si>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</si>
  <si>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</si>
  <si>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</si>
  <si>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</si>
  <si>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</si>
  <si>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</si>
  <si>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</si>
  <si>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</si>
  <si>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</si>
  <si>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</si>
  <si>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</si>
  <si>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</si>
  <si>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</si>
  <si>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</si>
  <si>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</si>
  <si>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</si>
  <si>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</si>
  <si>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</si>
  <si>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</si>
  <si>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</si>
  <si>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</si>
  <si>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</si>
  <si>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</si>
  <si>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</si>
  <si>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</si>
  <si>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</si>
  <si>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</si>
  <si>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</si>
  <si>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</si>
  <si>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</si>
  <si>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</si>
  <si>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</si>
  <si>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</si>
  <si>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</si>
  <si>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</si>
  <si>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</si>
  <si>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</si>
  <si>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</si>
  <si>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</si>
  <si>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</si>
  <si>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</si>
  <si>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</si>
  <si>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</si>
  <si>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</si>
  <si>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</si>
  <si>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</si>
  <si>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</si>
  <si>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</si>
  <si>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</si>
  <si>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</si>
  <si>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</si>
  <si>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</si>
  <si>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</si>
  <si>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</si>
  <si>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</si>
  <si>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</si>
  <si>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</si>
  <si>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</si>
  <si>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</si>
  <si>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New Term - any other revenue which the Authority decides (Nothing put through this yet)</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</si>
  <si>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</si>
  <si>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</si>
  <si>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</si>
  <si>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</si>
  <si>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</si>
  <si>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</si>
  <si>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</si>
  <si>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</si>
  <si>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</si>
  <si>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</si>
  <si>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</si>
  <si>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</si>
  <si>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</si>
  <si>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</si>
  <si>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</si>
  <si>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</si>
  <si>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</si>
  <si>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</si>
  <si>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</si>
  <si>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</si>
  <si>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</si>
  <si>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</si>
  <si>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</si>
  <si>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</si>
  <si>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</si>
  <si>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</si>
  <si>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</si>
  <si>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</si>
  <si>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</si>
  <si>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</si>
  <si>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</si>
  <si>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</si>
  <si>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</si>
  <si>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</si>
  <si>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</si>
  <si>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</si>
  <si>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</si>
  <si>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</si>
  <si>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</si>
  <si>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</si>
  <si>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</si>
  <si>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</si>
  <si>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</si>
  <si>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</si>
  <si>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</si>
  <si>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</si>
  <si>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</si>
  <si>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</si>
  <si>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</si>
  <si>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</si>
  <si>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</si>
  <si>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</si>
  <si>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</si>
  <si>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</si>
  <si>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</si>
  <si>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</si>
  <si>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</si>
  <si>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</si>
  <si>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</si>
  <si>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</si>
  <si>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</si>
  <si>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</si>
  <si>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</si>
  <si>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</si>
  <si>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</si>
  <si>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</si>
  <si>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</si>
  <si>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</si>
  <si>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</si>
  <si>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</si>
  <si>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</si>
  <si>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</si>
  <si>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</si>
  <si>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</si>
  <si>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</si>
  <si>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</si>
  <si>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</si>
  <si>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</si>
  <si>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</si>
  <si>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</si>
  <si>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</si>
  <si>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</si>
  <si>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</si>
  <si>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</si>
  <si>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</si>
  <si>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</si>
  <si>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</si>
  <si>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</si>
  <si>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</si>
  <si>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</si>
  <si>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</si>
  <si>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</si>
  <si>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</si>
  <si>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</si>
  <si>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</si>
  <si>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</si>
  <si>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</si>
  <si>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</si>
  <si>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</si>
  <si>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</si>
  <si>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</si>
  <si>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</si>
  <si>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</si>
  <si>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</si>
  <si>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</si>
  <si>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</si>
  <si>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</si>
  <si>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</si>
  <si>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</si>
  <si>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</si>
  <si>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</si>
  <si>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</si>
  <si>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</si>
  <si>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</si>
  <si>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</si>
  <si>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</si>
  <si>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</si>
  <si>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</si>
  <si>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</si>
  <si>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</si>
  <si>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</si>
  <si>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</si>
  <si>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</si>
  <si>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</si>
  <si>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</si>
  <si>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</si>
  <si>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</si>
  <si>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</si>
  <si>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</si>
  <si>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</si>
  <si>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</si>
  <si>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</si>
  <si>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</si>
  <si>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</si>
  <si>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</si>
  <si>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</si>
  <si>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</si>
  <si>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</si>
  <si>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</si>
  <si>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</si>
  <si>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</si>
  <si>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</si>
  <si>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</si>
  <si>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</si>
  <si>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</si>
  <si>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</si>
  <si>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</si>
  <si>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</si>
  <si>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</si>
  <si>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</si>
  <si>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</si>
  <si>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</si>
  <si>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</si>
  <si>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</si>
  <si>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</si>
  <si>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</si>
  <si>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</si>
  <si>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</si>
  <si>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</si>
  <si>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</si>
  <si>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</si>
  <si>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</si>
  <si>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</si>
  <si>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</si>
  <si>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</si>
  <si>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</si>
  <si>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</si>
  <si>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</si>
  <si>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</si>
  <si>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</si>
  <si>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</si>
  <si>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</si>
  <si>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</si>
  <si>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</si>
  <si>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</si>
  <si>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</si>
  <si>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</si>
  <si>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</si>
  <si>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</si>
  <si>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</si>
  <si>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</si>
  <si>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</si>
  <si>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</si>
  <si>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</si>
  <si>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</si>
  <si>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</si>
  <si>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Q1, April's performance was above target, but the performance for May and June was below target levels, resulting in an overall Q1 profit of £3,006 for the Timeliness portion of this incentive.</t>
  </si>
  <si>
    <t>The chart shows the cumulative costs of Operating Margins availability and utilisation. The total costs for Q1 were £3.99m.</t>
  </si>
  <si>
    <t>The chart shows the costs of Operating Margins availability and utilisation. The target Incentive Cost for 2011/12 for the Operating Margins incentive is £17.32m, with an Incentive Payment capped at £1m and collared at -£1m. The total costs accrued for Q1 were £3.99m.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</si>
  <si>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is 3.13%.</t>
  </si>
  <si>
    <t>The chart shows the monthly cumulative buy-back cost performance measure. The annual target cost for this incentive is £16.71m. Q1 performance is a cost of -£1.3m (profit of £1.3m).</t>
  </si>
  <si>
    <t>Ops Margin Availability Costs (£m)
OMAPCt</t>
  </si>
  <si>
    <t xml:space="preserve">Ops Margin Utilisation Costs (£m)
OMUPCt </t>
  </si>
  <si>
    <t>Sharing factors are 25% upside and 20% downside with a maximum incentive profit of £5m and a maximum incentive loss of £4m.
If total spend against the incentive is below the target (i.e. the cost target outperformance is positive), National Grid receives receives a payment equivalent to 25% of the underspend, subject to a limit of £5m. Conversely, if total spend is above the target, National Grid incurs a penalty of 20% of the overspend, subject to a limit of £4m.</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</si>
  <si>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</si>
  <si>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</si>
  <si>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</si>
  <si>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</si>
  <si>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</si>
  <si>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Q1 2011-2012 (April 2011 to June 2011)</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</si>
  <si>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</si>
  <si>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</si>
  <si>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</si>
  <si>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</si>
  <si>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</si>
  <si>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</si>
  <si>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</si>
  <si>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</si>
  <si>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</si>
  <si>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</si>
  <si>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</si>
  <si>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The chart shows the monthly cumulative buy-back cost performance measure. The annual target cost for this incentive is £16.71m. The scheme has upside and downside sharing factors of 50% with a profit cap of £16.71m and a loss collar of £12.38m.  Q1 performance is a cost of -£1.3m (profit of £1.3m).</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</si>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</sst>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0" xfId="0" applyFont="1" applyFill="1" applyBorder="1" applyAlignment="1" applyProtection="1">
      <alignment horizontal="center" vertical="center" wrapText="1"/>
      <protection locked="0"/>
    </xf>
    <xf numFmtId="0" fontId="36" fillId="3" borderId="59" xfId="0" applyFont="1" applyFill="1" applyBorder="1" applyAlignment="1" applyProtection="1">
      <alignment horizontal="left"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5" fillId="3" borderId="136" xfId="0" applyFont="1" applyFill="1" applyBorder="1" applyAlignment="1" applyProtection="1">
      <alignment horizontal="center" vertical="center"/>
      <protection locked="0"/>
    </xf>
    <xf numFmtId="0" fontId="5" fillId="3" borderId="151" xfId="0" applyFont="1" applyFill="1" applyBorder="1" applyAlignment="1" applyProtection="1">
      <alignment horizontal="center" vertical="center"/>
      <protection locked="0"/>
    </xf>
    <xf numFmtId="0" fontId="11" fillId="3" borderId="152" xfId="0" applyFont="1" applyFill="1" applyBorder="1" applyAlignment="1" applyProtection="1">
      <alignment horizontal="center" vertical="center"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4"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5" xfId="0" applyFont="1" applyFill="1" applyBorder="1" applyAlignment="1">
      <alignment horizontal="left" vertical="center" wrapText="1"/>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1" xfId="0" applyFont="1" applyFill="1" applyBorder="1" applyAlignment="1" applyProtection="1">
      <alignment horizontal="center"/>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1"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0</c:v>
                </c:pt>
                <c:pt idx="4">
                  <c:v>0</c:v>
                </c:pt>
                <c:pt idx="5">
                  <c:v>0</c:v>
                </c:pt>
                <c:pt idx="6">
                  <c:v>0</c:v>
                </c:pt>
                <c:pt idx="7">
                  <c:v>0</c:v>
                </c:pt>
                <c:pt idx="8">
                  <c:v>0</c:v>
                </c:pt>
                <c:pt idx="9">
                  <c:v>0</c:v>
                </c:pt>
                <c:pt idx="10">
                  <c:v>0</c:v>
                </c:pt>
                <c:pt idx="11">
                  <c:v>0</c:v>
                </c:pt>
              </c:numCache>
            </c:numRef>
          </c:val>
        </c:ser>
        <c:overlap val="100"/>
        <c:gapWidth val="10"/>
        <c:axId val="64977762"/>
        <c:axId val="47928947"/>
      </c:barChart>
      <c:dateAx>
        <c:axId val="64977762"/>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7928947"/>
        <c:crosses val="autoZero"/>
        <c:auto val="0"/>
        <c:noMultiLvlLbl val="0"/>
      </c:dateAx>
      <c:valAx>
        <c:axId val="47928947"/>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4977762"/>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14008284"/>
        <c:axId val="58965693"/>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0</c:v>
                </c:pt>
                <c:pt idx="4">
                  <c:v>0</c:v>
                </c:pt>
                <c:pt idx="5">
                  <c:v>0</c:v>
                </c:pt>
                <c:pt idx="6">
                  <c:v>0</c:v>
                </c:pt>
                <c:pt idx="7">
                  <c:v>0</c:v>
                </c:pt>
                <c:pt idx="8">
                  <c:v>0</c:v>
                </c:pt>
                <c:pt idx="9">
                  <c:v>0</c:v>
                </c:pt>
                <c:pt idx="10">
                  <c:v>0</c:v>
                </c:pt>
                <c:pt idx="11">
                  <c:v>0</c:v>
                </c:pt>
              </c:numCache>
            </c:numRef>
          </c:val>
        </c:ser>
        <c:axId val="14008284"/>
        <c:axId val="58965693"/>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14008284"/>
        <c:axId val="58965693"/>
      </c:lineChart>
      <c:catAx>
        <c:axId val="1400828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965693"/>
        <c:crosses val="autoZero"/>
        <c:auto val="0"/>
        <c:lblOffset val="0"/>
        <c:tickLblSkip val="1"/>
        <c:noMultiLvlLbl val="0"/>
      </c:catAx>
      <c:valAx>
        <c:axId val="58965693"/>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008284"/>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60929190"/>
        <c:axId val="11491799"/>
      </c:barChart>
      <c:dateAx>
        <c:axId val="60929190"/>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11491799"/>
        <c:crosses val="autoZero"/>
        <c:auto val="0"/>
        <c:noMultiLvlLbl val="0"/>
      </c:dateAx>
      <c:valAx>
        <c:axId val="11491799"/>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0929190"/>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6317328"/>
        <c:axId val="58420497"/>
      </c:barChart>
      <c:dateAx>
        <c:axId val="36317328"/>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58420497"/>
        <c:crosses val="autoZero"/>
        <c:auto val="0"/>
        <c:noMultiLvlLbl val="0"/>
      </c:dateAx>
      <c:valAx>
        <c:axId val="58420497"/>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6317328"/>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56022426"/>
        <c:axId val="34439787"/>
      </c:scatterChart>
      <c:valAx>
        <c:axId val="56022426"/>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439787"/>
        <c:crosses val="autoZero"/>
        <c:crossBetween val="midCat"/>
        <c:dispUnits/>
        <c:majorUnit val="20"/>
      </c:valAx>
      <c:valAx>
        <c:axId val="344397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022426"/>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1522628"/>
        <c:axId val="38159333"/>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7889678"/>
        <c:axId val="3898239"/>
      </c:lineChart>
      <c:catAx>
        <c:axId val="41522628"/>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38159333"/>
        <c:crosses val="autoZero"/>
        <c:auto val="0"/>
        <c:lblOffset val="100"/>
        <c:tickLblSkip val="1"/>
        <c:noMultiLvlLbl val="0"/>
      </c:catAx>
      <c:valAx>
        <c:axId val="38159333"/>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41522628"/>
        <c:crossesAt val="1"/>
        <c:crossBetween val="between"/>
        <c:dispUnits/>
      </c:valAx>
      <c:catAx>
        <c:axId val="7889678"/>
        <c:scaling>
          <c:orientation val="minMax"/>
        </c:scaling>
        <c:axPos val="b"/>
        <c:delete val="1"/>
        <c:majorTickMark val="in"/>
        <c:minorTickMark val="none"/>
        <c:tickLblPos val="nextTo"/>
        <c:crossAx val="3898239"/>
        <c:crosses val="autoZero"/>
        <c:auto val="0"/>
        <c:lblOffset val="100"/>
        <c:tickLblSkip val="1"/>
        <c:noMultiLvlLbl val="0"/>
      </c:catAx>
      <c:valAx>
        <c:axId val="3898239"/>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7889678"/>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5084152"/>
        <c:axId val="47321913"/>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c:v>
                </c:pt>
                <c:pt idx="1">
                  <c:v>0</c:v>
                </c:pt>
                <c:pt idx="2">
                  <c:v>0</c:v>
                </c:pt>
              </c:numCache>
            </c:numRef>
          </c:val>
          <c:smooth val="0"/>
        </c:ser>
        <c:axId val="35084152"/>
        <c:axId val="47321913"/>
      </c:lineChart>
      <c:catAx>
        <c:axId val="3508415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321913"/>
        <c:crosses val="autoZero"/>
        <c:auto val="0"/>
        <c:lblOffset val="100"/>
        <c:tickLblSkip val="1"/>
        <c:noMultiLvlLbl val="0"/>
      </c:catAx>
      <c:valAx>
        <c:axId val="47321913"/>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5084152"/>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23244034"/>
        <c:axId val="7869715"/>
      </c:scatterChart>
      <c:valAx>
        <c:axId val="23244034"/>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869715"/>
        <c:crosses val="autoZero"/>
        <c:crossBetween val="midCat"/>
        <c:dispUnits/>
        <c:minorUnit val="0.005"/>
      </c:valAx>
      <c:valAx>
        <c:axId val="7869715"/>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244034"/>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718572"/>
        <c:axId val="33467149"/>
      </c:barChart>
      <c:dateAx>
        <c:axId val="371857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467149"/>
        <c:crosses val="autoZero"/>
        <c:auto val="0"/>
        <c:noMultiLvlLbl val="0"/>
      </c:dateAx>
      <c:valAx>
        <c:axId val="33467149"/>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18572"/>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2768886"/>
        <c:axId val="26484519"/>
      </c:lineChart>
      <c:dateAx>
        <c:axId val="3276888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484519"/>
        <c:crosses val="autoZero"/>
        <c:auto val="0"/>
        <c:noMultiLvlLbl val="0"/>
      </c:dateAx>
      <c:valAx>
        <c:axId val="26484519"/>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768886"/>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37034080"/>
        <c:axId val="64871265"/>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7034080"/>
        <c:axId val="64871265"/>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7034080"/>
        <c:axId val="64871265"/>
      </c:lineChart>
      <c:catAx>
        <c:axId val="3703408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871265"/>
        <c:crosses val="autoZero"/>
        <c:auto val="0"/>
        <c:lblOffset val="100"/>
        <c:tickLblSkip val="1"/>
        <c:noMultiLvlLbl val="0"/>
      </c:catAx>
      <c:valAx>
        <c:axId val="64871265"/>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034080"/>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28707340"/>
        <c:axId val="57039469"/>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0.03269479569935114</c:v>
                </c:pt>
                <c:pt idx="1">
                  <c:v>0.0337394327311189</c:v>
                </c:pt>
                <c:pt idx="2">
                  <c:v>0.03132118849246266</c:v>
                </c:pt>
              </c:numCache>
            </c:numRef>
          </c:val>
          <c:smooth val="0"/>
        </c:ser>
        <c:axId val="28707340"/>
        <c:axId val="57039469"/>
      </c:lineChart>
      <c:catAx>
        <c:axId val="2870734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039469"/>
        <c:crosses val="autoZero"/>
        <c:auto val="0"/>
        <c:lblOffset val="100"/>
        <c:tickLblSkip val="1"/>
        <c:noMultiLvlLbl val="0"/>
      </c:catAx>
      <c:valAx>
        <c:axId val="57039469"/>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8707340"/>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46970474"/>
        <c:axId val="20081083"/>
      </c:scatterChart>
      <c:valAx>
        <c:axId val="46970474"/>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081083"/>
        <c:crosses val="autoZero"/>
        <c:crossBetween val="midCat"/>
        <c:dispUnits/>
        <c:majorUnit val="0.25"/>
      </c:valAx>
      <c:valAx>
        <c:axId val="20081083"/>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970474"/>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6512020"/>
        <c:axId val="15954997"/>
      </c:lineChart>
      <c:catAx>
        <c:axId val="4651202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954997"/>
        <c:crosses val="autoZero"/>
        <c:auto val="0"/>
        <c:lblOffset val="100"/>
        <c:tickLblSkip val="1"/>
        <c:noMultiLvlLbl val="0"/>
      </c:catAx>
      <c:valAx>
        <c:axId val="15954997"/>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512020"/>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9377246"/>
        <c:axId val="17286351"/>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9377246"/>
        <c:axId val="17286351"/>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9377246"/>
        <c:axId val="17286351"/>
      </c:lineChart>
      <c:catAx>
        <c:axId val="937724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286351"/>
        <c:crosses val="autoZero"/>
        <c:auto val="0"/>
        <c:lblOffset val="100"/>
        <c:tickLblSkip val="1"/>
        <c:noMultiLvlLbl val="0"/>
      </c:catAx>
      <c:valAx>
        <c:axId val="17286351"/>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377246"/>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21359432"/>
        <c:axId val="58017161"/>
      </c:scatterChart>
      <c:valAx>
        <c:axId val="21359432"/>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017161"/>
        <c:crosses val="autoZero"/>
        <c:crossBetween val="midCat"/>
        <c:dispUnits/>
      </c:valAx>
      <c:valAx>
        <c:axId val="58017161"/>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359432"/>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52392402"/>
        <c:axId val="1769571"/>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15926140"/>
        <c:axId val="9117533"/>
      </c:lineChart>
      <c:catAx>
        <c:axId val="5239240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69571"/>
        <c:crosses val="autoZero"/>
        <c:auto val="0"/>
        <c:lblOffset val="100"/>
        <c:tickLblSkip val="1"/>
        <c:noMultiLvlLbl val="0"/>
      </c:catAx>
      <c:valAx>
        <c:axId val="1769571"/>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392402"/>
        <c:crossesAt val="1"/>
        <c:crossBetween val="between"/>
        <c:dispUnits/>
      </c:valAx>
      <c:catAx>
        <c:axId val="15926140"/>
        <c:scaling>
          <c:orientation val="minMax"/>
        </c:scaling>
        <c:axPos val="b"/>
        <c:delete val="1"/>
        <c:majorTickMark val="in"/>
        <c:minorTickMark val="none"/>
        <c:tickLblPos val="nextTo"/>
        <c:crossAx val="9117533"/>
        <c:crosses val="autoZero"/>
        <c:auto val="0"/>
        <c:lblOffset val="100"/>
        <c:tickLblSkip val="1"/>
        <c:noMultiLvlLbl val="0"/>
      </c:catAx>
      <c:valAx>
        <c:axId val="9117533"/>
        <c:scaling>
          <c:orientation val="minMax"/>
        </c:scaling>
        <c:axPos val="l"/>
        <c:delete val="1"/>
        <c:majorTickMark val="in"/>
        <c:minorTickMark val="none"/>
        <c:tickLblPos val="nextTo"/>
        <c:crossAx val="15926140"/>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14948934"/>
        <c:axId val="322679"/>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2904112"/>
        <c:axId val="26137009"/>
      </c:lineChart>
      <c:catAx>
        <c:axId val="1494893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22679"/>
        <c:crosses val="autoZero"/>
        <c:auto val="0"/>
        <c:lblOffset val="100"/>
        <c:tickLblSkip val="1"/>
        <c:noMultiLvlLbl val="0"/>
      </c:catAx>
      <c:valAx>
        <c:axId val="322679"/>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948934"/>
        <c:crossesAt val="1"/>
        <c:crossBetween val="between"/>
        <c:dispUnits/>
      </c:valAx>
      <c:catAx>
        <c:axId val="2904112"/>
        <c:scaling>
          <c:orientation val="minMax"/>
        </c:scaling>
        <c:axPos val="b"/>
        <c:delete val="1"/>
        <c:majorTickMark val="in"/>
        <c:minorTickMark val="none"/>
        <c:tickLblPos val="nextTo"/>
        <c:crossAx val="26137009"/>
        <c:crosses val="autoZero"/>
        <c:auto val="0"/>
        <c:lblOffset val="100"/>
        <c:tickLblSkip val="1"/>
        <c:noMultiLvlLbl val="0"/>
      </c:catAx>
      <c:valAx>
        <c:axId val="26137009"/>
        <c:scaling>
          <c:orientation val="minMax"/>
        </c:scaling>
        <c:axPos val="l"/>
        <c:delete val="1"/>
        <c:majorTickMark val="in"/>
        <c:minorTickMark val="none"/>
        <c:tickLblPos val="nextTo"/>
        <c:crossAx val="2904112"/>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33906490"/>
        <c:axId val="36722955"/>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33906490"/>
        <c:axId val="36722955"/>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33906490"/>
        <c:axId val="36722955"/>
      </c:lineChart>
      <c:catAx>
        <c:axId val="3390649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6722955"/>
        <c:crosses val="autoZero"/>
        <c:auto val="0"/>
        <c:lblOffset val="100"/>
        <c:tickLblSkip val="1"/>
        <c:noMultiLvlLbl val="0"/>
      </c:catAx>
      <c:valAx>
        <c:axId val="36722955"/>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906490"/>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62071140"/>
        <c:axId val="21769349"/>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62071140"/>
        <c:axId val="21769349"/>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62071140"/>
        <c:axId val="21769349"/>
      </c:lineChart>
      <c:dateAx>
        <c:axId val="6207114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1769349"/>
        <c:crosses val="autoZero"/>
        <c:auto val="0"/>
        <c:noMultiLvlLbl val="0"/>
      </c:dateAx>
      <c:valAx>
        <c:axId val="21769349"/>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071140"/>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1706414"/>
        <c:axId val="18486815"/>
      </c:barChart>
      <c:dateAx>
        <c:axId val="61706414"/>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18486815"/>
        <c:crosses val="autoZero"/>
        <c:auto val="0"/>
        <c:noMultiLvlLbl val="0"/>
      </c:dateAx>
      <c:valAx>
        <c:axId val="18486815"/>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6170641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32163608"/>
        <c:axId val="21037017"/>
      </c:scatterChart>
      <c:valAx>
        <c:axId val="32163608"/>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21037017"/>
        <c:crosses val="autoZero"/>
        <c:crossBetween val="midCat"/>
        <c:dispUnits/>
        <c:majorUnit val="1"/>
      </c:valAx>
      <c:valAx>
        <c:axId val="21037017"/>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216360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3593174"/>
        <c:axId val="56794247"/>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0</c:v>
                </c:pt>
                <c:pt idx="4">
                  <c:v>0</c:v>
                </c:pt>
                <c:pt idx="5">
                  <c:v>0</c:v>
                </c:pt>
                <c:pt idx="6">
                  <c:v>0</c:v>
                </c:pt>
                <c:pt idx="7">
                  <c:v>0</c:v>
                </c:pt>
                <c:pt idx="8">
                  <c:v>0</c:v>
                </c:pt>
                <c:pt idx="9">
                  <c:v>0</c:v>
                </c:pt>
                <c:pt idx="10">
                  <c:v>0</c:v>
                </c:pt>
                <c:pt idx="11">
                  <c:v>0</c:v>
                </c:pt>
              </c:numCache>
            </c:numRef>
          </c:val>
        </c:ser>
        <c:axId val="43593174"/>
        <c:axId val="56794247"/>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43593174"/>
        <c:axId val="56794247"/>
      </c:lineChart>
      <c:catAx>
        <c:axId val="4359317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6794247"/>
        <c:crosses val="autoZero"/>
        <c:auto val="0"/>
        <c:lblOffset val="100"/>
        <c:tickLblSkip val="1"/>
        <c:noMultiLvlLbl val="0"/>
      </c:catAx>
      <c:valAx>
        <c:axId val="56794247"/>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593174"/>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5"/>
          <c:y val="0.1215"/>
          <c:w val="0.927"/>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55115426"/>
        <c:axId val="26276787"/>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Balancing'!$F$84:$F$86</c:f>
              <c:numCache>
                <c:ptCount val="3"/>
                <c:pt idx="0">
                  <c:v>0</c:v>
                </c:pt>
                <c:pt idx="1">
                  <c:v>0</c:v>
                </c:pt>
                <c:pt idx="2">
                  <c:v>0</c:v>
                </c:pt>
              </c:numCache>
            </c:numRef>
          </c:val>
          <c:smooth val="0"/>
        </c:ser>
        <c:axId val="35164492"/>
        <c:axId val="48044973"/>
      </c:lineChart>
      <c:catAx>
        <c:axId val="5511542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6276787"/>
        <c:crosses val="autoZero"/>
        <c:auto val="0"/>
        <c:lblOffset val="100"/>
        <c:tickLblSkip val="1"/>
        <c:noMultiLvlLbl val="0"/>
      </c:catAx>
      <c:valAx>
        <c:axId val="26276787"/>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5115426"/>
        <c:crossesAt val="1"/>
        <c:crossBetween val="between"/>
        <c:dispUnits/>
      </c:valAx>
      <c:catAx>
        <c:axId val="35164492"/>
        <c:scaling>
          <c:orientation val="minMax"/>
        </c:scaling>
        <c:axPos val="b"/>
        <c:delete val="1"/>
        <c:majorTickMark val="in"/>
        <c:minorTickMark val="none"/>
        <c:tickLblPos val="nextTo"/>
        <c:crossAx val="48044973"/>
        <c:crosses val="autoZero"/>
        <c:auto val="0"/>
        <c:lblOffset val="100"/>
        <c:tickLblSkip val="1"/>
        <c:noMultiLvlLbl val="0"/>
      </c:catAx>
      <c:valAx>
        <c:axId val="48044973"/>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5164492"/>
        <c:crosses val="max"/>
        <c:crossBetween val="between"/>
        <c:dispUnits/>
      </c:valAx>
      <c:spPr>
        <a:noFill/>
      </c:spPr>
    </c:plotArea>
    <c:legend>
      <c:legendPos val="b"/>
      <c:layout>
        <c:manualLayout>
          <c:xMode val="edge"/>
          <c:yMode val="edge"/>
          <c:x val="0.2072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5"/>
          <c:y val="0.123"/>
          <c:w val="0.9497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29751574"/>
        <c:axId val="66437575"/>
      </c:lineChart>
      <c:catAx>
        <c:axId val="2975157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6437575"/>
        <c:crosses val="autoZero"/>
        <c:auto val="0"/>
        <c:lblOffset val="100"/>
        <c:tickLblSkip val="1"/>
        <c:noMultiLvlLbl val="0"/>
      </c:catAx>
      <c:valAx>
        <c:axId val="66437575"/>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9751574"/>
        <c:crossesAt val="1"/>
        <c:crossBetween val="between"/>
        <c:dispUnits/>
      </c:valAx>
      <c:spPr>
        <a:noFill/>
      </c:spPr>
    </c:plotArea>
    <c:legend>
      <c:legendPos val="b"/>
      <c:layout>
        <c:manualLayout>
          <c:xMode val="edge"/>
          <c:yMode val="edge"/>
          <c:x val="0.147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61067264"/>
        <c:axId val="12734465"/>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Balancing'!$M$84:$M$86</c:f>
              <c:numCache>
                <c:ptCount val="3"/>
                <c:pt idx="0">
                  <c:v>0</c:v>
                </c:pt>
                <c:pt idx="1">
                  <c:v>0</c:v>
                </c:pt>
                <c:pt idx="2">
                  <c:v>0</c:v>
                </c:pt>
              </c:numCache>
            </c:numRef>
          </c:val>
          <c:smooth val="0"/>
        </c:ser>
        <c:axId val="47501322"/>
        <c:axId val="24858715"/>
      </c:lineChart>
      <c:catAx>
        <c:axId val="6106726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12734465"/>
        <c:crosses val="autoZero"/>
        <c:auto val="0"/>
        <c:lblOffset val="100"/>
        <c:tickLblSkip val="1"/>
        <c:noMultiLvlLbl val="0"/>
      </c:catAx>
      <c:valAx>
        <c:axId val="12734465"/>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1067264"/>
        <c:crossesAt val="1"/>
        <c:crossBetween val="between"/>
        <c:dispUnits/>
      </c:valAx>
      <c:catAx>
        <c:axId val="47501322"/>
        <c:scaling>
          <c:orientation val="minMax"/>
        </c:scaling>
        <c:axPos val="b"/>
        <c:delete val="1"/>
        <c:majorTickMark val="in"/>
        <c:minorTickMark val="none"/>
        <c:tickLblPos val="nextTo"/>
        <c:crossAx val="24858715"/>
        <c:crosses val="autoZero"/>
        <c:auto val="0"/>
        <c:lblOffset val="100"/>
        <c:tickLblSkip val="1"/>
        <c:noMultiLvlLbl val="0"/>
      </c:catAx>
      <c:valAx>
        <c:axId val="24858715"/>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47501322"/>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22401844"/>
        <c:axId val="290005"/>
      </c:lineChart>
      <c:catAx>
        <c:axId val="2240184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90005"/>
        <c:crosses val="autoZero"/>
        <c:auto val="0"/>
        <c:lblOffset val="100"/>
        <c:tickLblSkip val="1"/>
        <c:noMultiLvlLbl val="0"/>
      </c:catAx>
      <c:valAx>
        <c:axId val="290005"/>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22401844"/>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2610046"/>
        <c:axId val="23490415"/>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0087144"/>
        <c:axId val="23675433"/>
      </c:lineChart>
      <c:catAx>
        <c:axId val="2610046"/>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3490415"/>
        <c:crosses val="autoZero"/>
        <c:auto val="0"/>
        <c:lblOffset val="100"/>
        <c:tickLblSkip val="1"/>
        <c:noMultiLvlLbl val="0"/>
      </c:catAx>
      <c:valAx>
        <c:axId val="23490415"/>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610046"/>
        <c:crossesAt val="1"/>
        <c:crossBetween val="between"/>
        <c:dispUnits/>
      </c:valAx>
      <c:catAx>
        <c:axId val="10087144"/>
        <c:scaling>
          <c:orientation val="minMax"/>
        </c:scaling>
        <c:axPos val="b"/>
        <c:delete val="1"/>
        <c:majorTickMark val="in"/>
        <c:minorTickMark val="none"/>
        <c:tickLblPos val="nextTo"/>
        <c:crossAx val="23675433"/>
        <c:crossesAt val="0"/>
        <c:auto val="0"/>
        <c:lblOffset val="100"/>
        <c:tickLblSkip val="1"/>
        <c:noMultiLvlLbl val="0"/>
      </c:catAx>
      <c:valAx>
        <c:axId val="23675433"/>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0087144"/>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75"/>
          <c:y val="0.14975"/>
          <c:w val="0.9417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11752306"/>
        <c:axId val="38661891"/>
      </c:barChart>
      <c:catAx>
        <c:axId val="11752306"/>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8661891"/>
        <c:crosses val="autoZero"/>
        <c:auto val="0"/>
        <c:lblOffset val="100"/>
        <c:tickLblSkip val="1"/>
        <c:noMultiLvlLbl val="0"/>
      </c:catAx>
      <c:valAx>
        <c:axId val="38661891"/>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752306"/>
        <c:crossesAt val="1"/>
        <c:crossBetween val="between"/>
        <c:dispUnits>
          <c:builtInUnit val="millions"/>
        </c:dispUnits>
      </c:valAx>
      <c:spPr>
        <a:noFill/>
      </c:spPr>
    </c:plotArea>
    <c:legend>
      <c:legendPos val="b"/>
      <c:layout>
        <c:manualLayout>
          <c:xMode val="edge"/>
          <c:yMode val="edge"/>
          <c:x val="0.280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425"/>
          <c:y val="0.12275"/>
          <c:w val="0.9307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12412700"/>
        <c:axId val="44605437"/>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12412700"/>
        <c:axId val="44605437"/>
      </c:lineChart>
      <c:dateAx>
        <c:axId val="1241270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605437"/>
        <c:crosses val="autoZero"/>
        <c:auto val="0"/>
        <c:noMultiLvlLbl val="0"/>
      </c:dateAx>
      <c:valAx>
        <c:axId val="44605437"/>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2412700"/>
        <c:crossesAt val="1"/>
        <c:crossBetween val="between"/>
        <c:dispUnits/>
      </c:valAx>
      <c:spPr>
        <a:solidFill>
          <a:srgbClr val="FFFFFF"/>
        </a:solidFill>
      </c:spPr>
    </c:plotArea>
    <c:legend>
      <c:legendPos val="b"/>
      <c:legendEntry>
        <c:idx val="0"/>
        <c:delete val="1"/>
      </c:legendEntry>
      <c:layout>
        <c:manualLayout>
          <c:xMode val="edge"/>
          <c:yMode val="edge"/>
          <c:x val="0.12275"/>
          <c:y val="0.87425"/>
          <c:w val="0.81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65904614"/>
        <c:axId val="56270615"/>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65904614"/>
        <c:axId val="56270615"/>
      </c:lineChart>
      <c:dateAx>
        <c:axId val="6590461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6270615"/>
        <c:crosses val="autoZero"/>
        <c:auto val="0"/>
        <c:noMultiLvlLbl val="0"/>
      </c:dateAx>
      <c:valAx>
        <c:axId val="56270615"/>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5904614"/>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9"/>
          <c:y val="0.12225"/>
          <c:w val="0.891"/>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36673488"/>
        <c:axId val="61625937"/>
      </c:scatterChart>
      <c:valAx>
        <c:axId val="36673488"/>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625937"/>
        <c:crosses val="autoZero"/>
        <c:crossBetween val="midCat"/>
        <c:dispUnits/>
        <c:majorUnit val="0.1"/>
        <c:minorUnit val="0.1"/>
      </c:valAx>
      <c:valAx>
        <c:axId val="61625937"/>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67348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25"/>
          <c:y val="0.078"/>
          <c:w val="0.96275"/>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17762522"/>
        <c:axId val="25644971"/>
      </c:scatterChart>
      <c:valAx>
        <c:axId val="17762522"/>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644971"/>
        <c:crosses val="autoZero"/>
        <c:crossBetween val="midCat"/>
        <c:dispUnits/>
        <c:majorUnit val="2.5"/>
      </c:valAx>
      <c:valAx>
        <c:axId val="25644971"/>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762522"/>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1386176"/>
        <c:axId val="36931265"/>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c:v>
                </c:pt>
                <c:pt idx="4">
                  <c:v>0</c:v>
                </c:pt>
                <c:pt idx="5">
                  <c:v>0</c:v>
                </c:pt>
                <c:pt idx="6">
                  <c:v>0</c:v>
                </c:pt>
                <c:pt idx="7">
                  <c:v>0</c:v>
                </c:pt>
                <c:pt idx="8">
                  <c:v>0</c:v>
                </c:pt>
                <c:pt idx="9">
                  <c:v>0</c:v>
                </c:pt>
                <c:pt idx="10">
                  <c:v>0</c:v>
                </c:pt>
                <c:pt idx="11">
                  <c:v>0</c:v>
                </c:pt>
              </c:numCache>
            </c:numRef>
          </c:val>
        </c:ser>
        <c:axId val="41386176"/>
        <c:axId val="36931265"/>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41386176"/>
        <c:axId val="36931265"/>
      </c:lineChart>
      <c:catAx>
        <c:axId val="4138617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6931265"/>
        <c:crosses val="autoZero"/>
        <c:auto val="0"/>
        <c:lblOffset val="100"/>
        <c:tickLblSkip val="1"/>
        <c:noMultiLvlLbl val="0"/>
      </c:catAx>
      <c:valAx>
        <c:axId val="36931265"/>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386176"/>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9478148"/>
        <c:axId val="63976741"/>
      </c:barChart>
      <c:catAx>
        <c:axId val="2947814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3976741"/>
        <c:crosses val="autoZero"/>
        <c:auto val="0"/>
        <c:lblOffset val="100"/>
        <c:tickLblSkip val="1"/>
        <c:noMultiLvlLbl val="0"/>
      </c:catAx>
      <c:valAx>
        <c:axId val="6397674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947814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8919758"/>
        <c:axId val="14733503"/>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8919758"/>
        <c:axId val="14733503"/>
      </c:barChart>
      <c:catAx>
        <c:axId val="38919758"/>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4733503"/>
        <c:crosses val="autoZero"/>
        <c:auto val="0"/>
        <c:lblOffset val="100"/>
        <c:tickLblSkip val="1"/>
        <c:noMultiLvlLbl val="0"/>
      </c:catAx>
      <c:valAx>
        <c:axId val="14733503"/>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919758"/>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65492664"/>
        <c:axId val="52563065"/>
      </c:scatterChart>
      <c:valAx>
        <c:axId val="65492664"/>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563065"/>
        <c:crosses val="autoZero"/>
        <c:crossBetween val="midCat"/>
        <c:dispUnits/>
        <c:majorUnit val="500"/>
        <c:minorUnit val="12.6"/>
      </c:valAx>
      <c:valAx>
        <c:axId val="5256306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492664"/>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305538"/>
        <c:axId val="29749843"/>
      </c:barChart>
      <c:catAx>
        <c:axId val="330553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9749843"/>
        <c:crosses val="autoZero"/>
        <c:auto val="0"/>
        <c:lblOffset val="100"/>
        <c:tickLblSkip val="1"/>
        <c:noMultiLvlLbl val="0"/>
      </c:catAx>
      <c:valAx>
        <c:axId val="29749843"/>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305538"/>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66421996"/>
        <c:axId val="60927053"/>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6421996"/>
        <c:axId val="60927053"/>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66421996"/>
        <c:axId val="60927053"/>
      </c:lineChart>
      <c:catAx>
        <c:axId val="6642199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927053"/>
        <c:crosses val="autoZero"/>
        <c:auto val="0"/>
        <c:lblOffset val="0"/>
        <c:tickLblSkip val="1"/>
        <c:noMultiLvlLbl val="0"/>
      </c:catAx>
      <c:valAx>
        <c:axId val="60927053"/>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421996"/>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11472566"/>
        <c:axId val="36144231"/>
      </c:scatterChart>
      <c:valAx>
        <c:axId val="11472566"/>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144231"/>
        <c:crosses val="autoZero"/>
        <c:crossBetween val="midCat"/>
        <c:dispUnits/>
        <c:majorUnit val="500"/>
      </c:valAx>
      <c:valAx>
        <c:axId val="36144231"/>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472566"/>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63945930"/>
        <c:axId val="38642459"/>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63945930"/>
        <c:axId val="38642459"/>
      </c:lineChart>
      <c:dateAx>
        <c:axId val="63945930"/>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8642459"/>
        <c:crosses val="autoZero"/>
        <c:auto val="0"/>
        <c:noMultiLvlLbl val="0"/>
      </c:dateAx>
      <c:valAx>
        <c:axId val="38642459"/>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63945930"/>
        <c:crossesAt val="1"/>
        <c:crossBetween val="between"/>
        <c:dispUnits/>
      </c:valAx>
      <c:spPr>
        <a:solidFill>
          <a:srgbClr val="FFFFFF"/>
        </a:solidFill>
      </c:spPr>
    </c:plotArea>
    <c:legend>
      <c:legendPos val="b"/>
      <c:legendEntry>
        <c:idx val="0"/>
        <c:delete val="1"/>
      </c:legendEntry>
      <c:layout>
        <c:manualLayout>
          <c:xMode val="edge"/>
          <c:yMode val="edge"/>
          <c:x val="0.232"/>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12237812"/>
        <c:axId val="43031445"/>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12237812"/>
        <c:axId val="43031445"/>
      </c:lineChart>
      <c:dateAx>
        <c:axId val="1223781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031445"/>
        <c:crosses val="autoZero"/>
        <c:auto val="0"/>
        <c:noMultiLvlLbl val="0"/>
      </c:dateAx>
      <c:valAx>
        <c:axId val="43031445"/>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12237812"/>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51738686"/>
        <c:axId val="62994991"/>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numCache>
            </c:numRef>
          </c:val>
        </c:ser>
        <c:overlap val="100"/>
        <c:axId val="51738686"/>
        <c:axId val="62994991"/>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51738686"/>
        <c:axId val="62994991"/>
      </c:lineChart>
      <c:dateAx>
        <c:axId val="51738686"/>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2994991"/>
        <c:crosses val="autoZero"/>
        <c:auto val="0"/>
        <c:noMultiLvlLbl val="0"/>
      </c:dateAx>
      <c:valAx>
        <c:axId val="62994991"/>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1738686"/>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9.646666666666667</c:v>
                </c:pt>
                <c:pt idx="1">
                  <c:v>19.293333333333333</c:v>
                </c:pt>
                <c:pt idx="2">
                  <c:v>28.939999999999998</c:v>
                </c:pt>
                <c:pt idx="3">
                  <c:v>35.449999999999996</c:v>
                </c:pt>
                <c:pt idx="4">
                  <c:v>41.96</c:v>
                </c:pt>
                <c:pt idx="5">
                  <c:v>48.47</c:v>
                </c:pt>
                <c:pt idx="6">
                  <c:v>60.086666666666666</c:v>
                </c:pt>
                <c:pt idx="7">
                  <c:v>71.70333333333333</c:v>
                </c:pt>
                <c:pt idx="8">
                  <c:v>83.32</c:v>
                </c:pt>
                <c:pt idx="9">
                  <c:v>95.82666666666667</c:v>
                </c:pt>
                <c:pt idx="10">
                  <c:v>108.33333333333333</c:v>
                </c:pt>
                <c:pt idx="11">
                  <c:v>120.84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30084008"/>
        <c:axId val="2320617"/>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c:v>
                </c:pt>
                <c:pt idx="1">
                  <c:v>24.46</c:v>
                </c:pt>
                <c:pt idx="2">
                  <c:v>33.010000000000005</c:v>
                </c:pt>
                <c:pt idx="3">
                  <c:v>0</c:v>
                </c:pt>
                <c:pt idx="4">
                  <c:v>0</c:v>
                </c:pt>
                <c:pt idx="5">
                  <c:v>0</c:v>
                </c:pt>
                <c:pt idx="6">
                  <c:v>0</c:v>
                </c:pt>
                <c:pt idx="7">
                  <c:v>0</c:v>
                </c:pt>
                <c:pt idx="8">
                  <c:v>0</c:v>
                </c:pt>
                <c:pt idx="9">
                  <c:v>0</c:v>
                </c:pt>
                <c:pt idx="10">
                  <c:v>0</c:v>
                </c:pt>
                <c:pt idx="11">
                  <c:v>0</c:v>
                </c:pt>
              </c:numCache>
            </c:numRef>
          </c:val>
        </c:ser>
        <c:axId val="30084008"/>
        <c:axId val="2320617"/>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11.313333333333333</c:v>
                </c:pt>
                <c:pt idx="1">
                  <c:v>22.626666666666665</c:v>
                </c:pt>
                <c:pt idx="2">
                  <c:v>33.94</c:v>
                </c:pt>
                <c:pt idx="3">
                  <c:v>42.11666666666667</c:v>
                </c:pt>
                <c:pt idx="4">
                  <c:v>50.29333333333334</c:v>
                </c:pt>
                <c:pt idx="5">
                  <c:v>58.47</c:v>
                </c:pt>
                <c:pt idx="6">
                  <c:v>71.75333333333333</c:v>
                </c:pt>
                <c:pt idx="7">
                  <c:v>85.03666666666666</c:v>
                </c:pt>
                <c:pt idx="8">
                  <c:v>98.32</c:v>
                </c:pt>
                <c:pt idx="9">
                  <c:v>112.49333333333333</c:v>
                </c:pt>
                <c:pt idx="10">
                  <c:v>126.66666666666666</c:v>
                </c:pt>
                <c:pt idx="11">
                  <c:v>140.84</c:v>
                </c:pt>
              </c:numCache>
            </c:numRef>
          </c:val>
          <c:smooth val="0"/>
        </c:ser>
        <c:axId val="30084008"/>
        <c:axId val="2320617"/>
      </c:lineChart>
      <c:catAx>
        <c:axId val="3008400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320617"/>
        <c:crosses val="autoZero"/>
        <c:auto val="0"/>
        <c:lblOffset val="100"/>
        <c:tickLblSkip val="1"/>
        <c:noMultiLvlLbl val="0"/>
      </c:catAx>
      <c:valAx>
        <c:axId val="2320617"/>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084008"/>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20885554"/>
        <c:axId val="53752259"/>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0</c:v>
                </c:pt>
                <c:pt idx="4">
                  <c:v>0</c:v>
                </c:pt>
                <c:pt idx="5">
                  <c:v>0</c:v>
                </c:pt>
                <c:pt idx="6">
                  <c:v>0</c:v>
                </c:pt>
                <c:pt idx="7">
                  <c:v>0</c:v>
                </c:pt>
                <c:pt idx="8">
                  <c:v>0</c:v>
                </c:pt>
                <c:pt idx="9">
                  <c:v>0</c:v>
                </c:pt>
                <c:pt idx="10">
                  <c:v>0</c:v>
                </c:pt>
                <c:pt idx="11">
                  <c:v>0</c:v>
                </c:pt>
              </c:numCache>
            </c:numRef>
          </c:val>
        </c:ser>
        <c:axId val="20885554"/>
        <c:axId val="53752259"/>
      </c:barChart>
      <c:catAx>
        <c:axId val="2088555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3752259"/>
        <c:crosses val="autoZero"/>
        <c:auto val="0"/>
        <c:lblOffset val="100"/>
        <c:tickLblSkip val="1"/>
        <c:noMultiLvlLbl val="0"/>
      </c:catAx>
      <c:valAx>
        <c:axId val="53752259"/>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885554"/>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0.2145</cdr:x>
      <cdr:y>0.547</cdr:y>
    </cdr:from>
    <cdr:to>
      <cdr:x>0.3515</cdr:x>
      <cdr:y>0.70425</cdr:y>
    </cdr:to>
    <cdr:sp>
      <cdr:nvSpPr>
        <cdr:cNvPr id="1" name="TextBox 1"/>
        <cdr:cNvSpPr txBox="1">
          <a:spLocks noChangeArrowheads="1"/>
        </cdr:cNvSpPr>
      </cdr:nvSpPr>
      <cdr:spPr>
        <a:xfrm>
          <a:off x="1304925" y="1524000"/>
          <a:ext cx="838200"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0.2145</cdr:x>
      <cdr:y>0.31925</cdr:y>
    </cdr:from>
    <cdr:to>
      <cdr:x>0.2225</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cdr:x>
      <cdr:y>0.623</cdr:y>
    </cdr:from>
    <cdr:to>
      <cdr:x>0.34075</cdr:x>
      <cdr:y>0.7965</cdr:y>
    </cdr:to>
    <cdr:sp>
      <cdr:nvSpPr>
        <cdr:cNvPr id="1" name="TextBox 1"/>
        <cdr:cNvSpPr txBox="1">
          <a:spLocks noChangeArrowheads="1"/>
        </cdr:cNvSpPr>
      </cdr:nvSpPr>
      <cdr:spPr>
        <a:xfrm>
          <a:off x="723900" y="1590675"/>
          <a:ext cx="1352550"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0.1895</cdr:x>
      <cdr:y>0.292</cdr:y>
    </cdr:from>
    <cdr:to>
      <cdr:x>0.1895</cdr:x>
      <cdr:y>0.623</cdr:y>
    </cdr:to>
    <cdr:sp>
      <cdr:nvSpPr>
        <cdr:cNvPr id="2" name="Line 2"/>
        <cdr:cNvSpPr>
          <a:spLocks/>
        </cdr:cNvSpPr>
      </cdr:nvSpPr>
      <cdr:spPr>
        <a:xfrm flipH="1" flipV="1">
          <a:off x="1152525"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05525"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05525"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38950"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48475"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48475"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24575"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068050" y="47625"/>
          <a:ext cx="1514475" cy="323850"/>
        </a:xfrm>
        <a:prstGeom prst="rect">
          <a:avLst/>
        </a:prstGeom>
        <a:noFill/>
        <a:ln w="9525" cmpd="sng">
          <a:noFill/>
        </a:ln>
      </xdr:spPr>
    </xdr:pic>
    <xdr:clientData/>
  </xdr:twoCellAnchor>
  <xdr:twoCellAnchor>
    <xdr:from>
      <xdr:col>1</xdr:col>
      <xdr:colOff>0</xdr:colOff>
      <xdr:row>45</xdr:row>
      <xdr:rowOff>0</xdr:rowOff>
    </xdr:from>
    <xdr:to>
      <xdr:col>8</xdr:col>
      <xdr:colOff>19050</xdr:colOff>
      <xdr:row>68</xdr:row>
      <xdr:rowOff>152400</xdr:rowOff>
    </xdr:to>
    <xdr:graphicFrame>
      <xdr:nvGraphicFramePr>
        <xdr:cNvPr id="8" name="Chart 14"/>
        <xdr:cNvGraphicFramePr/>
      </xdr:nvGraphicFramePr>
      <xdr:xfrm>
        <a:off x="66675" y="8677275"/>
        <a:ext cx="6134100"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38950"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086475"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05525"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1639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1639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0406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0.60325</cdr:x>
      <cdr:y>0.33925</cdr:y>
    </cdr:from>
    <cdr:to>
      <cdr:x>0.63775</cdr:x>
      <cdr:y>0.43125</cdr:y>
    </cdr:to>
    <cdr:sp>
      <cdr:nvSpPr>
        <cdr:cNvPr id="2" name="Line 2"/>
        <cdr:cNvSpPr>
          <a:spLocks/>
        </cdr:cNvSpPr>
      </cdr:nvSpPr>
      <cdr:spPr>
        <a:xfrm flipH="1">
          <a:off x="4248150" y="1047750"/>
          <a:ext cx="2476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19850100"/>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742950</xdr:colOff>
      <xdr:row>18</xdr:row>
      <xdr:rowOff>38100</xdr:rowOff>
    </xdr:from>
    <xdr:to>
      <xdr:col>5</xdr:col>
      <xdr:colOff>161925</xdr:colOff>
      <xdr:row>19</xdr:row>
      <xdr:rowOff>200025</xdr:rowOff>
    </xdr:to>
    <xdr:sp>
      <xdr:nvSpPr>
        <xdr:cNvPr id="5" name="Line 49"/>
        <xdr:cNvSpPr>
          <a:spLocks/>
        </xdr:cNvSpPr>
      </xdr:nvSpPr>
      <xdr:spPr>
        <a:xfrm flipH="1">
          <a:off x="3343275" y="4191000"/>
          <a:ext cx="2286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2" sqref="B2"/>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289</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290</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275</v>
      </c>
      <c r="C37" s="17"/>
    </row>
    <row r="38" spans="1:3" ht="12.75">
      <c r="A38" s="133"/>
      <c r="B38" s="619"/>
      <c r="C38" s="17"/>
    </row>
    <row r="39" spans="1:3" ht="28.5">
      <c r="A39" s="133"/>
      <c r="B39" s="623" t="s">
        <v>276</v>
      </c>
      <c r="C39" s="17"/>
    </row>
    <row r="40" spans="1:3" ht="12.75">
      <c r="A40" s="133"/>
      <c r="B40" s="617"/>
      <c r="C40" s="17"/>
    </row>
    <row r="41" spans="1:3" ht="15">
      <c r="A41" s="133"/>
      <c r="B41" s="628" t="s">
        <v>291</v>
      </c>
      <c r="C41" s="17"/>
    </row>
    <row r="42" spans="1:3" ht="12.75">
      <c r="A42" s="133"/>
      <c r="B42" s="617"/>
      <c r="C42" s="17"/>
    </row>
    <row r="43" spans="1:3" ht="14.25">
      <c r="A43" s="133"/>
      <c r="B43" s="629" t="s">
        <v>277</v>
      </c>
      <c r="C43" s="17"/>
    </row>
    <row r="44" spans="1:3" ht="14.25">
      <c r="A44" s="133"/>
      <c r="B44" s="629" t="s">
        <v>278</v>
      </c>
      <c r="C44" s="17"/>
    </row>
    <row r="45" spans="1:3" ht="14.25">
      <c r="A45" s="133"/>
      <c r="B45" s="629" t="s">
        <v>279</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37">
      <selection activeCell="I51" sqref="I51"/>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69</v>
      </c>
      <c r="C6" s="782" t="s">
        <v>194</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159</v>
      </c>
      <c r="G9" s="696"/>
      <c r="H9" s="696"/>
      <c r="I9" s="697"/>
    </row>
    <row r="10" spans="2:9" ht="14.25">
      <c r="B10" s="245"/>
      <c r="C10" s="300"/>
      <c r="D10" s="212"/>
      <c r="E10" s="212"/>
      <c r="F10" s="489"/>
      <c r="G10" s="568"/>
      <c r="H10" s="568"/>
      <c r="I10" s="246"/>
    </row>
    <row r="11" spans="2:9" ht="11.25" customHeight="1">
      <c r="B11" s="245"/>
      <c r="C11" s="300"/>
      <c r="D11" s="212"/>
      <c r="E11" s="212"/>
      <c r="F11" s="645" t="s">
        <v>216</v>
      </c>
      <c r="G11" s="637"/>
      <c r="H11" s="637"/>
      <c r="I11" s="638"/>
    </row>
    <row r="12" spans="2:9" ht="14.25">
      <c r="B12" s="245"/>
      <c r="C12" s="300"/>
      <c r="D12" s="212"/>
      <c r="E12" s="212"/>
      <c r="F12" s="490"/>
      <c r="G12" s="514"/>
      <c r="H12" s="199"/>
      <c r="I12" s="246"/>
    </row>
    <row r="13" spans="2:9" ht="11.25" customHeight="1">
      <c r="B13" s="245"/>
      <c r="C13" s="300"/>
      <c r="D13" s="212"/>
      <c r="E13" s="212"/>
      <c r="F13" s="639" t="s">
        <v>196</v>
      </c>
      <c r="G13" s="640"/>
      <c r="H13" s="640"/>
      <c r="I13" s="641"/>
    </row>
    <row r="14" spans="2:9" ht="11.25" customHeight="1">
      <c r="B14" s="245"/>
      <c r="C14" s="300"/>
      <c r="D14" s="212"/>
      <c r="E14" s="212"/>
      <c r="F14" s="639"/>
      <c r="G14" s="640"/>
      <c r="H14" s="640"/>
      <c r="I14" s="641"/>
    </row>
    <row r="15" spans="2:9" ht="11.25" customHeight="1">
      <c r="B15" s="245"/>
      <c r="C15" s="300"/>
      <c r="D15" s="212"/>
      <c r="E15" s="212"/>
      <c r="F15" s="639"/>
      <c r="G15" s="640"/>
      <c r="H15" s="640"/>
      <c r="I15" s="641"/>
    </row>
    <row r="16" spans="2:9" ht="11.25" customHeight="1">
      <c r="B16" s="245"/>
      <c r="C16" s="300"/>
      <c r="D16" s="212"/>
      <c r="E16" s="212"/>
      <c r="F16" s="639"/>
      <c r="G16" s="640"/>
      <c r="H16" s="640"/>
      <c r="I16" s="641"/>
    </row>
    <row r="17" spans="2:9" ht="11.25" customHeight="1">
      <c r="B17" s="245"/>
      <c r="C17" s="300"/>
      <c r="D17" s="212"/>
      <c r="E17" s="212"/>
      <c r="F17" s="639"/>
      <c r="G17" s="640"/>
      <c r="H17" s="640"/>
      <c r="I17" s="641"/>
    </row>
    <row r="18" spans="2:9" ht="11.25" customHeight="1">
      <c r="B18" s="245"/>
      <c r="C18" s="300"/>
      <c r="D18" s="212"/>
      <c r="E18" s="212"/>
      <c r="F18" s="639"/>
      <c r="G18" s="640"/>
      <c r="H18" s="640"/>
      <c r="I18" s="641"/>
    </row>
    <row r="19" spans="2:9" ht="11.25" customHeight="1">
      <c r="B19" s="245"/>
      <c r="C19" s="300"/>
      <c r="D19" s="212"/>
      <c r="E19" s="212"/>
      <c r="F19" s="639"/>
      <c r="G19" s="640"/>
      <c r="H19" s="640"/>
      <c r="I19" s="641"/>
    </row>
    <row r="20" spans="2:9" ht="11.25" customHeight="1">
      <c r="B20" s="245"/>
      <c r="C20" s="300"/>
      <c r="D20" s="212"/>
      <c r="E20" s="212"/>
      <c r="F20" s="639"/>
      <c r="G20" s="640"/>
      <c r="H20" s="640"/>
      <c r="I20" s="641"/>
    </row>
    <row r="21" spans="2:9" ht="11.25" customHeight="1">
      <c r="B21" s="245"/>
      <c r="C21" s="300"/>
      <c r="D21" s="212"/>
      <c r="E21" s="212"/>
      <c r="F21" s="639"/>
      <c r="G21" s="640"/>
      <c r="H21" s="640"/>
      <c r="I21" s="641"/>
    </row>
    <row r="22" spans="2:9" ht="11.25" customHeight="1">
      <c r="B22" s="245"/>
      <c r="C22" s="300"/>
      <c r="D22" s="212"/>
      <c r="E22" s="212"/>
      <c r="F22" s="639"/>
      <c r="G22" s="640"/>
      <c r="H22" s="640"/>
      <c r="I22" s="641"/>
    </row>
    <row r="23" spans="2:9" ht="11.25" customHeight="1">
      <c r="B23" s="245"/>
      <c r="C23" s="300"/>
      <c r="D23" s="212"/>
      <c r="E23" s="212"/>
      <c r="F23" s="639"/>
      <c r="G23" s="640"/>
      <c r="H23" s="640"/>
      <c r="I23" s="641"/>
    </row>
    <row r="24" spans="2:9" ht="11.25" customHeight="1">
      <c r="B24" s="245"/>
      <c r="C24" s="300"/>
      <c r="D24" s="212"/>
      <c r="E24" s="212"/>
      <c r="F24" s="639"/>
      <c r="G24" s="640"/>
      <c r="H24" s="640"/>
      <c r="I24" s="641"/>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1</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40</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c r="D67" s="599">
        <f>IF(C67="","",D66+C67)</f>
      </c>
      <c r="E67" s="594"/>
      <c r="F67" s="594"/>
      <c r="G67" s="600"/>
      <c r="H67" s="609"/>
      <c r="I67" s="584"/>
      <c r="J67" s="594"/>
      <c r="K67" s="594"/>
      <c r="M67" s="596"/>
      <c r="N67" s="597"/>
      <c r="O67" s="597"/>
      <c r="P67" s="598"/>
      <c r="Q67" s="597"/>
    </row>
    <row r="68" spans="2:17" s="595" customFormat="1" ht="12.75">
      <c r="B68" s="608">
        <v>40756</v>
      </c>
      <c r="C68" s="594"/>
      <c r="D68" s="599">
        <f aca="true" t="shared" si="0" ref="D68:D75">IF(C68="","",D67+C68)</f>
      </c>
      <c r="E68" s="594"/>
      <c r="F68" s="594"/>
      <c r="G68" s="600"/>
      <c r="H68" s="609"/>
      <c r="I68" s="610"/>
      <c r="J68" s="594"/>
      <c r="K68" s="594"/>
      <c r="N68" s="597"/>
      <c r="O68" s="597"/>
      <c r="P68" s="598"/>
      <c r="Q68" s="597"/>
    </row>
    <row r="69" spans="2:16" s="595" customFormat="1" ht="15.75">
      <c r="B69" s="608">
        <v>40787</v>
      </c>
      <c r="C69" s="594"/>
      <c r="D69" s="599">
        <f t="shared" si="0"/>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1466</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47</v>
      </c>
      <c r="D43" s="5">
        <v>40634</v>
      </c>
      <c r="E43" s="5">
        <v>40664</v>
      </c>
      <c r="F43" s="5">
        <v>40695</v>
      </c>
      <c r="G43" s="5">
        <v>40725</v>
      </c>
      <c r="H43" s="5">
        <v>40756</v>
      </c>
      <c r="I43" s="5">
        <v>40787</v>
      </c>
      <c r="J43" s="5">
        <v>40817</v>
      </c>
      <c r="K43" s="5">
        <v>40848</v>
      </c>
      <c r="L43" s="5">
        <v>40878</v>
      </c>
      <c r="M43" s="5">
        <v>40909</v>
      </c>
      <c r="N43" s="5">
        <v>40940</v>
      </c>
      <c r="O43" s="5">
        <v>40969</v>
      </c>
      <c r="P43" s="8" t="s">
        <v>45</v>
      </c>
      <c r="Q43" s="1"/>
      <c r="R43" s="1"/>
      <c r="S43" s="4" t="s">
        <v>47</v>
      </c>
      <c r="T43" s="5">
        <v>40634</v>
      </c>
      <c r="U43" s="5">
        <v>40664</v>
      </c>
      <c r="V43" s="5">
        <v>40695</v>
      </c>
      <c r="W43" s="5">
        <v>40725</v>
      </c>
      <c r="X43" s="5">
        <v>40756</v>
      </c>
      <c r="Y43" s="5">
        <v>40787</v>
      </c>
      <c r="Z43" s="5">
        <v>40817</v>
      </c>
      <c r="AA43" s="5">
        <v>40848</v>
      </c>
      <c r="AB43" s="5">
        <v>40878</v>
      </c>
      <c r="AC43" s="5">
        <v>40909</v>
      </c>
      <c r="AD43" s="5">
        <v>40940</v>
      </c>
      <c r="AE43" s="5">
        <v>40969</v>
      </c>
      <c r="AF43" s="8" t="s">
        <v>45</v>
      </c>
      <c r="AG43" s="1"/>
      <c r="AH43" s="1"/>
      <c r="AI43" s="4" t="s">
        <v>47</v>
      </c>
      <c r="AJ43" s="5">
        <v>39904</v>
      </c>
      <c r="AK43" s="6">
        <v>39934</v>
      </c>
      <c r="AL43" s="6">
        <v>39965</v>
      </c>
      <c r="AM43" s="6">
        <v>39995</v>
      </c>
      <c r="AN43" s="6">
        <v>40026</v>
      </c>
      <c r="AO43" s="6">
        <v>40057</v>
      </c>
      <c r="AP43" s="6">
        <v>40087</v>
      </c>
      <c r="AQ43" s="6">
        <v>40118</v>
      </c>
      <c r="AR43" s="6">
        <v>40148</v>
      </c>
      <c r="AS43" s="6">
        <v>40179</v>
      </c>
      <c r="AT43" s="6">
        <v>40210</v>
      </c>
      <c r="AU43" s="7">
        <v>40238</v>
      </c>
      <c r="AV43" s="8" t="s">
        <v>45</v>
      </c>
      <c r="AW43" s="1"/>
      <c r="AX43" s="1"/>
      <c r="AY43" s="4" t="s">
        <v>47</v>
      </c>
      <c r="AZ43" s="5">
        <v>39904</v>
      </c>
      <c r="BA43" s="6">
        <v>39934</v>
      </c>
      <c r="BB43" s="6">
        <v>39965</v>
      </c>
      <c r="BC43" s="6">
        <v>39995</v>
      </c>
      <c r="BD43" s="6">
        <v>40026</v>
      </c>
      <c r="BE43" s="6">
        <v>40057</v>
      </c>
      <c r="BF43" s="6">
        <v>40087</v>
      </c>
      <c r="BG43" s="6">
        <v>40118</v>
      </c>
      <c r="BH43" s="6">
        <v>40148</v>
      </c>
      <c r="BI43" s="6">
        <v>40179</v>
      </c>
      <c r="BJ43" s="6">
        <v>40210</v>
      </c>
      <c r="BK43" s="7">
        <v>40238</v>
      </c>
      <c r="BL43" s="8" t="s">
        <v>45</v>
      </c>
      <c r="BM43" s="1"/>
      <c r="BN43" s="1"/>
      <c r="BO43" s="4" t="s">
        <v>47</v>
      </c>
      <c r="BP43" s="5">
        <v>39904</v>
      </c>
      <c r="BQ43" s="6">
        <v>39934</v>
      </c>
      <c r="BR43" s="6">
        <v>39965</v>
      </c>
      <c r="BS43" s="6">
        <v>39995</v>
      </c>
      <c r="BT43" s="6">
        <v>40026</v>
      </c>
      <c r="BU43" s="6">
        <v>40057</v>
      </c>
      <c r="BV43" s="6">
        <v>40087</v>
      </c>
      <c r="BW43" s="6">
        <v>40118</v>
      </c>
      <c r="BX43" s="6">
        <v>40148</v>
      </c>
      <c r="BY43" s="6">
        <v>40179</v>
      </c>
      <c r="BZ43" s="6">
        <v>40210</v>
      </c>
      <c r="CA43" s="7">
        <v>40238</v>
      </c>
      <c r="CB43" s="8" t="s">
        <v>45</v>
      </c>
      <c r="CC43" s="1"/>
      <c r="CD43" s="1"/>
      <c r="CE43" s="4" t="s">
        <v>47</v>
      </c>
      <c r="CF43" s="5">
        <v>39904</v>
      </c>
      <c r="CG43" s="6">
        <v>39934</v>
      </c>
      <c r="CH43" s="6">
        <v>39965</v>
      </c>
      <c r="CI43" s="6">
        <v>39995</v>
      </c>
      <c r="CJ43" s="6">
        <v>40026</v>
      </c>
      <c r="CK43" s="6">
        <v>40057</v>
      </c>
      <c r="CL43" s="6">
        <v>40087</v>
      </c>
      <c r="CM43" s="6">
        <v>40118</v>
      </c>
      <c r="CN43" s="6">
        <v>40148</v>
      </c>
      <c r="CO43" s="6">
        <v>40179</v>
      </c>
      <c r="CP43" s="6">
        <v>40210</v>
      </c>
      <c r="CQ43" s="7">
        <v>40238</v>
      </c>
      <c r="CR43" s="8" t="s">
        <v>45</v>
      </c>
      <c r="CS43" s="1"/>
      <c r="CT43" s="1"/>
      <c r="CU43" s="4" t="s">
        <v>47</v>
      </c>
      <c r="CV43" s="5">
        <v>39904</v>
      </c>
      <c r="CW43" s="6">
        <v>39934</v>
      </c>
      <c r="CX43" s="6">
        <v>39965</v>
      </c>
      <c r="CY43" s="6">
        <v>39995</v>
      </c>
      <c r="CZ43" s="6">
        <v>40026</v>
      </c>
      <c r="DA43" s="6">
        <v>40057</v>
      </c>
      <c r="DB43" s="6">
        <v>40087</v>
      </c>
      <c r="DC43" s="6">
        <v>40118</v>
      </c>
      <c r="DD43" s="6">
        <v>40148</v>
      </c>
      <c r="DE43" s="6">
        <v>40179</v>
      </c>
      <c r="DF43" s="6">
        <v>40210</v>
      </c>
      <c r="DG43" s="7">
        <v>40238</v>
      </c>
      <c r="DH43" s="8" t="s">
        <v>45</v>
      </c>
      <c r="DI43" s="1"/>
      <c r="DJ43" s="1"/>
      <c r="DK43" s="4" t="s">
        <v>47</v>
      </c>
      <c r="DL43" s="5">
        <v>39904</v>
      </c>
      <c r="DM43" s="6">
        <v>39934</v>
      </c>
      <c r="DN43" s="6">
        <v>39965</v>
      </c>
      <c r="DO43" s="6">
        <v>39995</v>
      </c>
      <c r="DP43" s="6">
        <v>40026</v>
      </c>
      <c r="DQ43" s="6">
        <v>40057</v>
      </c>
      <c r="DR43" s="6">
        <v>40087</v>
      </c>
      <c r="DS43" s="6">
        <v>40118</v>
      </c>
      <c r="DT43" s="6">
        <v>40148</v>
      </c>
      <c r="DU43" s="6">
        <v>40179</v>
      </c>
      <c r="DV43" s="6">
        <v>40210</v>
      </c>
      <c r="DW43" s="7">
        <v>40238</v>
      </c>
      <c r="DX43" s="8" t="s">
        <v>45</v>
      </c>
      <c r="DY43" s="1"/>
      <c r="DZ43" s="1"/>
      <c r="EA43" s="4" t="s">
        <v>47</v>
      </c>
      <c r="EB43" s="5">
        <v>39904</v>
      </c>
      <c r="EC43" s="6">
        <v>39934</v>
      </c>
      <c r="ED43" s="6">
        <v>39965</v>
      </c>
      <c r="EE43" s="6">
        <v>39995</v>
      </c>
      <c r="EF43" s="6">
        <v>40026</v>
      </c>
      <c r="EG43" s="6">
        <v>40057</v>
      </c>
      <c r="EH43" s="6">
        <v>40087</v>
      </c>
      <c r="EI43" s="6">
        <v>40118</v>
      </c>
      <c r="EJ43" s="6">
        <v>40148</v>
      </c>
      <c r="EK43" s="6">
        <v>40179</v>
      </c>
      <c r="EL43" s="6">
        <v>40210</v>
      </c>
      <c r="EM43" s="7">
        <v>40238</v>
      </c>
      <c r="EN43" s="8" t="s">
        <v>45</v>
      </c>
      <c r="EO43" s="1"/>
      <c r="EP43" s="1"/>
      <c r="EQ43" s="4" t="s">
        <v>47</v>
      </c>
      <c r="ER43" s="5">
        <v>39904</v>
      </c>
      <c r="ES43" s="6">
        <v>39934</v>
      </c>
      <c r="ET43" s="6">
        <v>39965</v>
      </c>
      <c r="EU43" s="6">
        <v>39995</v>
      </c>
      <c r="EV43" s="6">
        <v>40026</v>
      </c>
      <c r="EW43" s="6">
        <v>40057</v>
      </c>
      <c r="EX43" s="6">
        <v>40087</v>
      </c>
      <c r="EY43" s="6">
        <v>40118</v>
      </c>
      <c r="EZ43" s="6">
        <v>40148</v>
      </c>
      <c r="FA43" s="6">
        <v>40179</v>
      </c>
      <c r="FB43" s="6">
        <v>40210</v>
      </c>
      <c r="FC43" s="7">
        <v>40238</v>
      </c>
      <c r="FD43" s="8" t="s">
        <v>45</v>
      </c>
      <c r="FE43" s="1"/>
      <c r="FF43" s="1"/>
      <c r="FG43" s="4" t="s">
        <v>47</v>
      </c>
      <c r="FH43" s="5">
        <v>39904</v>
      </c>
      <c r="FI43" s="6">
        <v>39934</v>
      </c>
      <c r="FJ43" s="6">
        <v>39965</v>
      </c>
      <c r="FK43" s="6">
        <v>39995</v>
      </c>
      <c r="FL43" s="6">
        <v>40026</v>
      </c>
      <c r="FM43" s="6">
        <v>40057</v>
      </c>
      <c r="FN43" s="6">
        <v>40087</v>
      </c>
      <c r="FO43" s="6">
        <v>40118</v>
      </c>
      <c r="FP43" s="6">
        <v>40148</v>
      </c>
      <c r="FQ43" s="6">
        <v>40179</v>
      </c>
      <c r="FR43" s="6">
        <v>40210</v>
      </c>
      <c r="FS43" s="7">
        <v>40238</v>
      </c>
      <c r="FT43" s="8" t="s">
        <v>45</v>
      </c>
      <c r="FU43" s="1"/>
      <c r="FV43" s="1"/>
      <c r="FW43" s="4" t="s">
        <v>47</v>
      </c>
      <c r="FX43" s="5">
        <v>39904</v>
      </c>
      <c r="FY43" s="6">
        <v>39934</v>
      </c>
      <c r="FZ43" s="6">
        <v>39965</v>
      </c>
      <c r="GA43" s="6">
        <v>39995</v>
      </c>
      <c r="GB43" s="6">
        <v>40026</v>
      </c>
      <c r="GC43" s="6">
        <v>40057</v>
      </c>
      <c r="GD43" s="6">
        <v>40087</v>
      </c>
      <c r="GE43" s="6">
        <v>40118</v>
      </c>
      <c r="GF43" s="6">
        <v>40148</v>
      </c>
      <c r="GG43" s="6">
        <v>40179</v>
      </c>
      <c r="GH43" s="6">
        <v>40210</v>
      </c>
      <c r="GI43" s="7">
        <v>40238</v>
      </c>
      <c r="GJ43" s="8" t="s">
        <v>45</v>
      </c>
      <c r="GK43" s="1"/>
      <c r="GL43" s="1"/>
      <c r="GM43" s="4" t="s">
        <v>47</v>
      </c>
      <c r="GN43" s="5">
        <v>39904</v>
      </c>
      <c r="GO43" s="6">
        <v>39934</v>
      </c>
      <c r="GP43" s="6">
        <v>39965</v>
      </c>
      <c r="GQ43" s="6">
        <v>39995</v>
      </c>
      <c r="GR43" s="6">
        <v>40026</v>
      </c>
      <c r="GS43" s="6">
        <v>40057</v>
      </c>
      <c r="GT43" s="6">
        <v>40087</v>
      </c>
      <c r="GU43" s="6">
        <v>40118</v>
      </c>
      <c r="GV43" s="6">
        <v>40148</v>
      </c>
      <c r="GW43" s="6">
        <v>40179</v>
      </c>
      <c r="GX43" s="6">
        <v>40210</v>
      </c>
      <c r="GY43" s="7">
        <v>40238</v>
      </c>
      <c r="GZ43" s="8" t="s">
        <v>45</v>
      </c>
      <c r="HA43" s="1"/>
      <c r="HB43" s="1"/>
      <c r="HC43" s="4" t="s">
        <v>47</v>
      </c>
      <c r="HD43" s="5">
        <v>39904</v>
      </c>
      <c r="HE43" s="6">
        <v>39934</v>
      </c>
      <c r="HF43" s="6">
        <v>39965</v>
      </c>
      <c r="HG43" s="6">
        <v>39995</v>
      </c>
      <c r="HH43" s="6">
        <v>40026</v>
      </c>
      <c r="HI43" s="6">
        <v>40057</v>
      </c>
      <c r="HJ43" s="6">
        <v>40087</v>
      </c>
      <c r="HK43" s="6">
        <v>40118</v>
      </c>
      <c r="HL43" s="6">
        <v>40148</v>
      </c>
      <c r="HM43" s="6">
        <v>40179</v>
      </c>
      <c r="HN43" s="6">
        <v>40210</v>
      </c>
      <c r="HO43" s="7">
        <v>40238</v>
      </c>
      <c r="HP43" s="8" t="s">
        <v>45</v>
      </c>
      <c r="HQ43" s="1"/>
      <c r="HR43" s="1"/>
      <c r="HS43" s="4" t="s">
        <v>47</v>
      </c>
      <c r="HT43" s="5">
        <v>39904</v>
      </c>
      <c r="HU43" s="6">
        <v>39934</v>
      </c>
      <c r="HV43" s="6">
        <v>39965</v>
      </c>
      <c r="HW43" s="6">
        <v>39995</v>
      </c>
      <c r="HX43" s="6">
        <v>40026</v>
      </c>
      <c r="HY43" s="6">
        <v>40057</v>
      </c>
      <c r="HZ43" s="6">
        <v>40087</v>
      </c>
      <c r="IA43" s="6">
        <v>40118</v>
      </c>
      <c r="IB43" s="6">
        <v>40148</v>
      </c>
      <c r="IC43" s="6">
        <v>40179</v>
      </c>
      <c r="ID43" s="6">
        <v>40210</v>
      </c>
      <c r="IE43" s="7">
        <v>40238</v>
      </c>
      <c r="IF43" s="8" t="s">
        <v>45</v>
      </c>
      <c r="IG43" s="1"/>
      <c r="IH43" s="1"/>
      <c r="II43" s="4" t="s">
        <v>47</v>
      </c>
      <c r="IJ43" s="5">
        <v>39904</v>
      </c>
      <c r="IK43" s="6">
        <v>39934</v>
      </c>
      <c r="IL43" s="6">
        <v>39965</v>
      </c>
      <c r="IM43" s="6">
        <v>39995</v>
      </c>
      <c r="IN43" s="6">
        <v>40026</v>
      </c>
      <c r="IO43" s="6">
        <v>40057</v>
      </c>
      <c r="IP43" s="6">
        <v>40087</v>
      </c>
      <c r="IQ43" s="6">
        <v>40118</v>
      </c>
      <c r="IR43" s="6">
        <v>40148</v>
      </c>
      <c r="IS43" s="6">
        <v>40179</v>
      </c>
      <c r="IT43" s="6">
        <v>40210</v>
      </c>
      <c r="IU43" s="7">
        <v>40238</v>
      </c>
      <c r="IV43" s="8" t="s">
        <v>45</v>
      </c>
    </row>
    <row r="44" spans="1:256" ht="13.5" customHeight="1">
      <c r="A44" s="1"/>
      <c r="B44" s="784"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183</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6"/>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86"/>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86"/>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86"/>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86"/>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86"/>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86"/>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86"/>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86"/>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86"/>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86"/>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86"/>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86"/>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86"/>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86"/>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86"/>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50</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8"/>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8"/>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8"/>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8"/>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8"/>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8"/>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8"/>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8"/>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8"/>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8"/>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8"/>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8"/>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8"/>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8"/>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8"/>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8"/>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284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285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286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21</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11.313333333333333</v>
      </c>
      <c r="E115" s="92">
        <f>D115+F115/3</f>
        <v>22.626666666666665</v>
      </c>
      <c r="F115" s="92">
        <f>(Shrinkage!$E$37-'Graph Data'!F116)</f>
        <v>33.94</v>
      </c>
      <c r="G115" s="92">
        <f>F115+(I115-F115)/3</f>
        <v>42.11666666666667</v>
      </c>
      <c r="H115" s="92">
        <f>I115-(I115-F115)/3</f>
        <v>50.29333333333333</v>
      </c>
      <c r="I115" s="92">
        <f>(Shrinkage!$H$37-'Graph Data'!I116)</f>
        <v>58.47</v>
      </c>
      <c r="J115" s="92">
        <f>I115+(L115-I115)/3</f>
        <v>71.75333333333333</v>
      </c>
      <c r="K115" s="92">
        <f>L115-(L115-I115)/3</f>
        <v>85.03666666666666</v>
      </c>
      <c r="L115" s="92">
        <f>(Shrinkage!$K$37-'Graph Data'!L116)</f>
        <v>98.32</v>
      </c>
      <c r="M115" s="92">
        <f>L115+(O115-L115)/3</f>
        <v>112.49333333333333</v>
      </c>
      <c r="N115" s="92">
        <f>O115-(O115-L115)/3</f>
        <v>126.66666666666667</v>
      </c>
      <c r="O115" s="92">
        <f>(Shrinkage!$N$37-'Graph Data'!O116)</f>
        <v>140.84</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40</v>
      </c>
      <c r="C128" s="14" t="s">
        <v>84</v>
      </c>
      <c r="D128" s="14" t="s">
        <v>96</v>
      </c>
      <c r="E128" s="22" t="s">
        <v>22</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0</v>
      </c>
      <c r="D132" s="3">
        <f t="shared" si="8"/>
        <v>546.415876526828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0</v>
      </c>
      <c r="D133" s="3">
        <f t="shared" si="8"/>
        <v>546.415876526828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0</v>
      </c>
      <c r="D134" s="3">
        <f t="shared" si="8"/>
        <v>546.415876526828</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546.415876526828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546.415876526828</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546.415876526828</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546.415876526828</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546.415876526828</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546.415876526828</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546.415876526828</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40</v>
      </c>
      <c r="C151" s="126" t="s">
        <v>163</v>
      </c>
      <c r="D151" s="126" t="s">
        <v>180</v>
      </c>
      <c r="E151" s="126" t="s">
        <v>164</v>
      </c>
      <c r="F151" s="126" t="s">
        <v>186</v>
      </c>
      <c r="G151" s="126" t="s">
        <v>6</v>
      </c>
      <c r="H151" s="126" t="s">
        <v>7</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0">
      <selection activeCell="J4" sqref="J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8</v>
      </c>
      <c r="C2" s="634"/>
      <c r="D2" s="634"/>
      <c r="E2" s="634"/>
      <c r="F2" s="634"/>
      <c r="G2" s="161"/>
      <c r="H2" s="161"/>
      <c r="I2" s="663" t="s">
        <v>256</v>
      </c>
      <c r="J2" s="663"/>
      <c r="K2" s="663"/>
      <c r="L2" s="663"/>
      <c r="M2" s="663"/>
      <c r="N2" s="663"/>
      <c r="O2" s="663"/>
      <c r="P2" s="663"/>
      <c r="Q2" s="663"/>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65" t="s">
        <v>292</v>
      </c>
      <c r="C23" s="665"/>
      <c r="D23" s="665"/>
      <c r="E23" s="665"/>
      <c r="F23" s="665"/>
      <c r="G23" s="665"/>
      <c r="H23" s="665"/>
      <c r="I23" s="665"/>
      <c r="J23" s="665"/>
      <c r="K23" s="167"/>
      <c r="L23" s="653" t="s">
        <v>15</v>
      </c>
      <c r="M23" s="653"/>
      <c r="N23" s="653"/>
      <c r="O23" s="653"/>
      <c r="P23" s="653"/>
      <c r="Q23" s="653"/>
      <c r="R23" s="653"/>
      <c r="S23" s="653"/>
      <c r="T23" s="653"/>
    </row>
    <row r="24" spans="2:20" ht="12.75" customHeight="1">
      <c r="B24" s="665"/>
      <c r="C24" s="665"/>
      <c r="D24" s="665"/>
      <c r="E24" s="665"/>
      <c r="F24" s="665"/>
      <c r="G24" s="665"/>
      <c r="H24" s="665"/>
      <c r="I24" s="665"/>
      <c r="J24" s="665"/>
      <c r="K24" s="167"/>
      <c r="L24" s="653"/>
      <c r="M24" s="653"/>
      <c r="N24" s="653"/>
      <c r="O24" s="653"/>
      <c r="P24" s="653"/>
      <c r="Q24" s="653"/>
      <c r="R24" s="653"/>
      <c r="S24" s="653"/>
      <c r="T24" s="653"/>
    </row>
    <row r="25" spans="2:20" ht="6.75" customHeight="1">
      <c r="B25" s="665"/>
      <c r="C25" s="665"/>
      <c r="D25" s="665"/>
      <c r="E25" s="665"/>
      <c r="F25" s="665"/>
      <c r="G25" s="665"/>
      <c r="H25" s="665"/>
      <c r="I25" s="665"/>
      <c r="J25" s="665"/>
      <c r="K25" s="167"/>
      <c r="L25" s="653"/>
      <c r="M25" s="653"/>
      <c r="N25" s="653"/>
      <c r="O25" s="653"/>
      <c r="P25" s="653"/>
      <c r="Q25" s="653"/>
      <c r="R25" s="653"/>
      <c r="S25" s="653"/>
      <c r="T25" s="653"/>
    </row>
    <row r="26" spans="2:20" ht="27.75" customHeight="1">
      <c r="B26" s="666"/>
      <c r="C26" s="666"/>
      <c r="D26" s="666"/>
      <c r="E26" s="666"/>
      <c r="F26" s="666"/>
      <c r="G26" s="666"/>
      <c r="H26" s="666"/>
      <c r="I26" s="666"/>
      <c r="J26" s="666"/>
      <c r="K26" s="168"/>
      <c r="L26" s="653"/>
      <c r="M26" s="653"/>
      <c r="N26" s="653"/>
      <c r="O26" s="653"/>
      <c r="P26" s="653"/>
      <c r="Q26" s="653"/>
      <c r="R26" s="653"/>
      <c r="S26" s="653"/>
      <c r="T26" s="653"/>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64" t="s">
        <v>269</v>
      </c>
      <c r="C47" s="664"/>
      <c r="D47" s="664"/>
      <c r="E47" s="664"/>
      <c r="F47" s="664"/>
      <c r="G47" s="664"/>
      <c r="H47" s="664"/>
      <c r="I47" s="664"/>
      <c r="J47" s="664"/>
      <c r="K47" s="169"/>
      <c r="L47" s="653" t="s">
        <v>5</v>
      </c>
      <c r="M47" s="653"/>
      <c r="N47" s="653"/>
      <c r="O47" s="653"/>
      <c r="P47" s="653"/>
      <c r="Q47" s="653"/>
      <c r="R47" s="653"/>
      <c r="S47" s="653"/>
      <c r="T47" s="653"/>
    </row>
    <row r="48" spans="2:20" ht="12.75" customHeight="1">
      <c r="B48" s="664"/>
      <c r="C48" s="664"/>
      <c r="D48" s="664"/>
      <c r="E48" s="664"/>
      <c r="F48" s="664"/>
      <c r="G48" s="664"/>
      <c r="H48" s="664"/>
      <c r="I48" s="664"/>
      <c r="J48" s="664"/>
      <c r="K48" s="169"/>
      <c r="L48" s="653"/>
      <c r="M48" s="653"/>
      <c r="N48" s="653"/>
      <c r="O48" s="653"/>
      <c r="P48" s="653"/>
      <c r="Q48" s="653"/>
      <c r="R48" s="653"/>
      <c r="S48" s="653"/>
      <c r="T48" s="653"/>
    </row>
    <row r="49" spans="2:20" ht="8.25" customHeight="1">
      <c r="B49" s="664"/>
      <c r="C49" s="664"/>
      <c r="D49" s="664"/>
      <c r="E49" s="664"/>
      <c r="F49" s="664"/>
      <c r="G49" s="664"/>
      <c r="H49" s="664"/>
      <c r="I49" s="664"/>
      <c r="J49" s="664"/>
      <c r="K49" s="169"/>
      <c r="L49" s="653"/>
      <c r="M49" s="653"/>
      <c r="N49" s="653"/>
      <c r="O49" s="653"/>
      <c r="P49" s="653"/>
      <c r="Q49" s="653"/>
      <c r="R49" s="653"/>
      <c r="S49" s="653"/>
      <c r="T49" s="653"/>
    </row>
    <row r="50" spans="2:20" ht="13.5" customHeight="1">
      <c r="B50" s="664"/>
      <c r="C50" s="664"/>
      <c r="D50" s="664"/>
      <c r="E50" s="664"/>
      <c r="F50" s="664"/>
      <c r="G50" s="664"/>
      <c r="H50" s="664"/>
      <c r="I50" s="664"/>
      <c r="J50" s="664"/>
      <c r="K50" s="169"/>
      <c r="L50" s="653"/>
      <c r="M50" s="653"/>
      <c r="N50" s="653"/>
      <c r="O50" s="653"/>
      <c r="P50" s="653"/>
      <c r="Q50" s="653"/>
      <c r="R50" s="653"/>
      <c r="S50" s="653"/>
      <c r="T50" s="653"/>
    </row>
    <row r="51" spans="2:20" ht="5.25" customHeight="1">
      <c r="B51" s="664"/>
      <c r="C51" s="664"/>
      <c r="D51" s="664"/>
      <c r="E51" s="664"/>
      <c r="F51" s="664"/>
      <c r="G51" s="664"/>
      <c r="H51" s="664"/>
      <c r="I51" s="664"/>
      <c r="J51" s="664"/>
      <c r="K51" s="169"/>
      <c r="L51" s="653"/>
      <c r="M51" s="653"/>
      <c r="N51" s="653"/>
      <c r="O51" s="653"/>
      <c r="P51" s="653"/>
      <c r="Q51" s="653"/>
      <c r="R51" s="653"/>
      <c r="S51" s="653"/>
      <c r="T51" s="653"/>
    </row>
    <row r="52" spans="2:20" ht="5.25" customHeight="1">
      <c r="B52" s="664"/>
      <c r="C52" s="664"/>
      <c r="D52" s="664"/>
      <c r="E52" s="664"/>
      <c r="F52" s="664"/>
      <c r="G52" s="664"/>
      <c r="H52" s="664"/>
      <c r="I52" s="664"/>
      <c r="J52" s="664"/>
      <c r="K52" s="169"/>
      <c r="L52" s="653"/>
      <c r="M52" s="653"/>
      <c r="N52" s="653"/>
      <c r="O52" s="653"/>
      <c r="P52" s="653"/>
      <c r="Q52" s="653"/>
      <c r="R52" s="653"/>
      <c r="S52" s="653"/>
      <c r="T52" s="653"/>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3" t="s">
        <v>18</v>
      </c>
      <c r="C74" s="653"/>
      <c r="D74" s="653"/>
      <c r="E74" s="653"/>
      <c r="F74" s="653"/>
      <c r="G74" s="653"/>
      <c r="H74" s="653"/>
      <c r="I74" s="653"/>
      <c r="J74" s="653"/>
      <c r="K74" s="169"/>
      <c r="L74" s="653" t="s">
        <v>19</v>
      </c>
      <c r="M74" s="653"/>
      <c r="N74" s="653"/>
      <c r="O74" s="653"/>
      <c r="P74" s="653"/>
      <c r="Q74" s="653"/>
      <c r="R74" s="653"/>
      <c r="S74" s="653"/>
      <c r="T74" s="653"/>
    </row>
    <row r="75" spans="2:20" ht="7.5" customHeight="1">
      <c r="B75" s="653"/>
      <c r="C75" s="653"/>
      <c r="D75" s="653"/>
      <c r="E75" s="653"/>
      <c r="F75" s="653"/>
      <c r="G75" s="653"/>
      <c r="H75" s="653"/>
      <c r="I75" s="653"/>
      <c r="J75" s="653"/>
      <c r="K75" s="169"/>
      <c r="L75" s="653"/>
      <c r="M75" s="653"/>
      <c r="N75" s="653"/>
      <c r="O75" s="653"/>
      <c r="P75" s="653"/>
      <c r="Q75" s="653"/>
      <c r="R75" s="653"/>
      <c r="S75" s="653"/>
      <c r="T75" s="653"/>
    </row>
    <row r="76" spans="2:20" ht="5.25" customHeight="1">
      <c r="B76" s="653"/>
      <c r="C76" s="653"/>
      <c r="D76" s="653"/>
      <c r="E76" s="653"/>
      <c r="F76" s="653"/>
      <c r="G76" s="653"/>
      <c r="H76" s="653"/>
      <c r="I76" s="653"/>
      <c r="J76" s="653"/>
      <c r="K76" s="169"/>
      <c r="L76" s="653"/>
      <c r="M76" s="653"/>
      <c r="N76" s="653"/>
      <c r="O76" s="653"/>
      <c r="P76" s="653"/>
      <c r="Q76" s="653"/>
      <c r="R76" s="653"/>
      <c r="S76" s="653"/>
      <c r="T76" s="653"/>
    </row>
    <row r="77" spans="2:20" ht="6.75" customHeight="1">
      <c r="B77" s="653"/>
      <c r="C77" s="653"/>
      <c r="D77" s="653"/>
      <c r="E77" s="653"/>
      <c r="F77" s="653"/>
      <c r="G77" s="653"/>
      <c r="H77" s="653"/>
      <c r="I77" s="653"/>
      <c r="J77" s="653"/>
      <c r="K77" s="169"/>
      <c r="L77" s="653"/>
      <c r="M77" s="653"/>
      <c r="N77" s="653"/>
      <c r="O77" s="653"/>
      <c r="P77" s="653"/>
      <c r="Q77" s="653"/>
      <c r="R77" s="653"/>
      <c r="S77" s="653"/>
      <c r="T77" s="653"/>
    </row>
    <row r="78" spans="2:20" ht="0.75" customHeight="1" hidden="1">
      <c r="B78" s="653"/>
      <c r="C78" s="653"/>
      <c r="D78" s="653"/>
      <c r="E78" s="653"/>
      <c r="F78" s="653"/>
      <c r="G78" s="653"/>
      <c r="H78" s="653"/>
      <c r="I78" s="653"/>
      <c r="J78" s="653"/>
      <c r="K78" s="169"/>
      <c r="L78" s="653"/>
      <c r="M78" s="653"/>
      <c r="N78" s="653"/>
      <c r="O78" s="653"/>
      <c r="P78" s="653"/>
      <c r="Q78" s="653"/>
      <c r="R78" s="653"/>
      <c r="S78" s="653"/>
      <c r="T78" s="653"/>
    </row>
    <row r="79" spans="2:20" ht="12.75" hidden="1">
      <c r="B79" s="653"/>
      <c r="C79" s="653"/>
      <c r="D79" s="653"/>
      <c r="E79" s="653"/>
      <c r="F79" s="653"/>
      <c r="G79" s="653"/>
      <c r="H79" s="653"/>
      <c r="I79" s="653"/>
      <c r="J79" s="653"/>
      <c r="K79" s="169"/>
      <c r="L79" s="653"/>
      <c r="M79" s="653"/>
      <c r="N79" s="653"/>
      <c r="O79" s="653"/>
      <c r="P79" s="653"/>
      <c r="Q79" s="653"/>
      <c r="R79" s="653"/>
      <c r="S79" s="653"/>
      <c r="T79" s="653"/>
    </row>
    <row r="80" spans="2:20" ht="3.75" customHeight="1" hidden="1">
      <c r="B80" s="653"/>
      <c r="C80" s="653"/>
      <c r="D80" s="653"/>
      <c r="E80" s="653"/>
      <c r="F80" s="653"/>
      <c r="G80" s="653"/>
      <c r="H80" s="653"/>
      <c r="I80" s="653"/>
      <c r="J80" s="653"/>
      <c r="K80" s="169"/>
      <c r="L80" s="653"/>
      <c r="M80" s="653"/>
      <c r="N80" s="653"/>
      <c r="O80" s="653"/>
      <c r="P80" s="653"/>
      <c r="Q80" s="653"/>
      <c r="R80" s="653"/>
      <c r="S80" s="653"/>
      <c r="T80" s="653"/>
    </row>
    <row r="81" spans="2:20" ht="1.5" customHeight="1">
      <c r="B81" s="653"/>
      <c r="C81" s="653"/>
      <c r="D81" s="653"/>
      <c r="E81" s="653"/>
      <c r="F81" s="653"/>
      <c r="G81" s="653"/>
      <c r="H81" s="653"/>
      <c r="I81" s="653"/>
      <c r="J81" s="653"/>
      <c r="K81" s="169"/>
      <c r="L81" s="653"/>
      <c r="M81" s="653"/>
      <c r="N81" s="653"/>
      <c r="O81" s="653"/>
      <c r="P81" s="653"/>
      <c r="Q81" s="653"/>
      <c r="R81" s="653"/>
      <c r="S81" s="653"/>
      <c r="T81" s="653"/>
    </row>
    <row r="82" spans="2:20" ht="7.5" customHeight="1">
      <c r="B82" s="653"/>
      <c r="C82" s="653"/>
      <c r="D82" s="653"/>
      <c r="E82" s="653"/>
      <c r="F82" s="653"/>
      <c r="G82" s="653"/>
      <c r="H82" s="653"/>
      <c r="I82" s="653"/>
      <c r="J82" s="653"/>
      <c r="K82" s="169"/>
      <c r="L82" s="653"/>
      <c r="M82" s="653"/>
      <c r="N82" s="653"/>
      <c r="O82" s="653"/>
      <c r="P82" s="653"/>
      <c r="Q82" s="653"/>
      <c r="R82" s="653"/>
      <c r="S82" s="653"/>
      <c r="T82" s="653"/>
    </row>
    <row r="83" spans="2:20" ht="43.5" customHeight="1">
      <c r="B83" s="653"/>
      <c r="C83" s="653"/>
      <c r="D83" s="653"/>
      <c r="E83" s="653"/>
      <c r="F83" s="653"/>
      <c r="G83" s="653"/>
      <c r="H83" s="653"/>
      <c r="I83" s="653"/>
      <c r="J83" s="653"/>
      <c r="K83" s="169"/>
      <c r="L83" s="653"/>
      <c r="M83" s="653"/>
      <c r="N83" s="653"/>
      <c r="O83" s="653"/>
      <c r="P83" s="653"/>
      <c r="Q83" s="653"/>
      <c r="R83" s="653"/>
      <c r="S83" s="653"/>
      <c r="T83" s="65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293</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4" t="s">
        <v>13</v>
      </c>
      <c r="C105" s="655"/>
      <c r="D105" s="655"/>
      <c r="E105" s="655"/>
      <c r="F105" s="655"/>
      <c r="G105" s="655"/>
      <c r="H105" s="655"/>
      <c r="I105" s="655"/>
      <c r="J105" s="656"/>
      <c r="K105" s="173"/>
      <c r="L105" s="654" t="s">
        <v>14</v>
      </c>
      <c r="M105" s="655"/>
      <c r="N105" s="655"/>
      <c r="O105" s="655"/>
      <c r="P105" s="655"/>
      <c r="Q105" s="655"/>
      <c r="R105" s="655"/>
      <c r="S105" s="655"/>
      <c r="T105" s="656"/>
    </row>
    <row r="106" spans="2:20" ht="0.75" customHeight="1">
      <c r="B106" s="657"/>
      <c r="C106" s="658"/>
      <c r="D106" s="658"/>
      <c r="E106" s="658"/>
      <c r="F106" s="658"/>
      <c r="G106" s="658"/>
      <c r="H106" s="658"/>
      <c r="I106" s="658"/>
      <c r="J106" s="659"/>
      <c r="K106" s="173"/>
      <c r="L106" s="657"/>
      <c r="M106" s="658"/>
      <c r="N106" s="658"/>
      <c r="O106" s="658"/>
      <c r="P106" s="658"/>
      <c r="Q106" s="658"/>
      <c r="R106" s="658"/>
      <c r="S106" s="658"/>
      <c r="T106" s="659"/>
    </row>
    <row r="107" spans="2:20" ht="12.75" customHeight="1" hidden="1">
      <c r="B107" s="657"/>
      <c r="C107" s="658"/>
      <c r="D107" s="658"/>
      <c r="E107" s="658"/>
      <c r="F107" s="658"/>
      <c r="G107" s="658"/>
      <c r="H107" s="658"/>
      <c r="I107" s="658"/>
      <c r="J107" s="659"/>
      <c r="K107" s="173"/>
      <c r="L107" s="657"/>
      <c r="M107" s="658"/>
      <c r="N107" s="658"/>
      <c r="O107" s="658"/>
      <c r="P107" s="658"/>
      <c r="Q107" s="658"/>
      <c r="R107" s="658"/>
      <c r="S107" s="658"/>
      <c r="T107" s="659"/>
    </row>
    <row r="108" spans="2:20" ht="14.25" customHeight="1" hidden="1">
      <c r="B108" s="657"/>
      <c r="C108" s="658"/>
      <c r="D108" s="658"/>
      <c r="E108" s="658"/>
      <c r="F108" s="658"/>
      <c r="G108" s="658"/>
      <c r="H108" s="658"/>
      <c r="I108" s="658"/>
      <c r="J108" s="659"/>
      <c r="K108" s="173"/>
      <c r="L108" s="657"/>
      <c r="M108" s="658"/>
      <c r="N108" s="658"/>
      <c r="O108" s="658"/>
      <c r="P108" s="658"/>
      <c r="Q108" s="658"/>
      <c r="R108" s="658"/>
      <c r="S108" s="658"/>
      <c r="T108" s="659"/>
    </row>
    <row r="109" spans="2:20" ht="12.75" customHeight="1" hidden="1">
      <c r="B109" s="657"/>
      <c r="C109" s="658"/>
      <c r="D109" s="658"/>
      <c r="E109" s="658"/>
      <c r="F109" s="658"/>
      <c r="G109" s="658"/>
      <c r="H109" s="658"/>
      <c r="I109" s="658"/>
      <c r="J109" s="659"/>
      <c r="K109" s="173"/>
      <c r="L109" s="657"/>
      <c r="M109" s="658"/>
      <c r="N109" s="658"/>
      <c r="O109" s="658"/>
      <c r="P109" s="658"/>
      <c r="Q109" s="658"/>
      <c r="R109" s="658"/>
      <c r="S109" s="658"/>
      <c r="T109" s="659"/>
    </row>
    <row r="110" spans="2:20" ht="12.75" customHeight="1">
      <c r="B110" s="657"/>
      <c r="C110" s="658"/>
      <c r="D110" s="658"/>
      <c r="E110" s="658"/>
      <c r="F110" s="658"/>
      <c r="G110" s="658"/>
      <c r="H110" s="658"/>
      <c r="I110" s="658"/>
      <c r="J110" s="659"/>
      <c r="K110" s="173"/>
      <c r="L110" s="657"/>
      <c r="M110" s="658"/>
      <c r="N110" s="658"/>
      <c r="O110" s="658"/>
      <c r="P110" s="658"/>
      <c r="Q110" s="658"/>
      <c r="R110" s="658"/>
      <c r="S110" s="658"/>
      <c r="T110" s="659"/>
    </row>
    <row r="111" spans="2:20" ht="12.75" customHeight="1" hidden="1">
      <c r="B111" s="657"/>
      <c r="C111" s="658"/>
      <c r="D111" s="658"/>
      <c r="E111" s="658"/>
      <c r="F111" s="658"/>
      <c r="G111" s="658"/>
      <c r="H111" s="658"/>
      <c r="I111" s="658"/>
      <c r="J111" s="659"/>
      <c r="K111" s="173"/>
      <c r="L111" s="657"/>
      <c r="M111" s="658"/>
      <c r="N111" s="658"/>
      <c r="O111" s="658"/>
      <c r="P111" s="658"/>
      <c r="Q111" s="658"/>
      <c r="R111" s="658"/>
      <c r="S111" s="658"/>
      <c r="T111" s="659"/>
    </row>
    <row r="112" spans="2:20" ht="11.25" customHeight="1">
      <c r="B112" s="657"/>
      <c r="C112" s="658"/>
      <c r="D112" s="658"/>
      <c r="E112" s="658"/>
      <c r="F112" s="658"/>
      <c r="G112" s="658"/>
      <c r="H112" s="658"/>
      <c r="I112" s="658"/>
      <c r="J112" s="659"/>
      <c r="K112" s="173"/>
      <c r="L112" s="657"/>
      <c r="M112" s="658"/>
      <c r="N112" s="658"/>
      <c r="O112" s="658"/>
      <c r="P112" s="658"/>
      <c r="Q112" s="658"/>
      <c r="R112" s="658"/>
      <c r="S112" s="658"/>
      <c r="T112" s="659"/>
    </row>
    <row r="113" spans="2:20" ht="12.75" customHeight="1" hidden="1">
      <c r="B113" s="657"/>
      <c r="C113" s="658"/>
      <c r="D113" s="658"/>
      <c r="E113" s="658"/>
      <c r="F113" s="658"/>
      <c r="G113" s="658"/>
      <c r="H113" s="658"/>
      <c r="I113" s="658"/>
      <c r="J113" s="659"/>
      <c r="K113" s="173"/>
      <c r="L113" s="657"/>
      <c r="M113" s="658"/>
      <c r="N113" s="658"/>
      <c r="O113" s="658"/>
      <c r="P113" s="658"/>
      <c r="Q113" s="658"/>
      <c r="R113" s="658"/>
      <c r="S113" s="658"/>
      <c r="T113" s="659"/>
    </row>
    <row r="114" spans="2:20" ht="11.25" customHeight="1">
      <c r="B114" s="660"/>
      <c r="C114" s="661"/>
      <c r="D114" s="661"/>
      <c r="E114" s="661"/>
      <c r="F114" s="661"/>
      <c r="G114" s="661"/>
      <c r="H114" s="661"/>
      <c r="I114" s="661"/>
      <c r="J114" s="662"/>
      <c r="K114" s="173"/>
      <c r="L114" s="660"/>
      <c r="M114" s="661"/>
      <c r="N114" s="661"/>
      <c r="O114" s="661"/>
      <c r="P114" s="661"/>
      <c r="Q114" s="661"/>
      <c r="R114" s="661"/>
      <c r="S114" s="661"/>
      <c r="T114" s="662"/>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3" t="s">
        <v>10</v>
      </c>
      <c r="C136" s="653"/>
      <c r="D136" s="653"/>
      <c r="E136" s="653"/>
      <c r="F136" s="653"/>
      <c r="G136" s="653"/>
      <c r="H136" s="653"/>
      <c r="I136" s="653"/>
      <c r="J136" s="653"/>
      <c r="K136" s="169"/>
      <c r="L136" s="654" t="s">
        <v>17</v>
      </c>
      <c r="M136" s="655"/>
      <c r="N136" s="655"/>
      <c r="O136" s="655"/>
      <c r="P136" s="655"/>
      <c r="Q136" s="655"/>
      <c r="R136" s="655"/>
      <c r="S136" s="655"/>
      <c r="T136" s="656"/>
    </row>
    <row r="137" spans="2:20" ht="12.75" hidden="1">
      <c r="B137" s="653"/>
      <c r="C137" s="653"/>
      <c r="D137" s="653"/>
      <c r="E137" s="653"/>
      <c r="F137" s="653"/>
      <c r="G137" s="653"/>
      <c r="H137" s="653"/>
      <c r="I137" s="653"/>
      <c r="J137" s="653"/>
      <c r="K137" s="169"/>
      <c r="L137" s="657"/>
      <c r="M137" s="658"/>
      <c r="N137" s="658"/>
      <c r="O137" s="658"/>
      <c r="P137" s="658"/>
      <c r="Q137" s="658"/>
      <c r="R137" s="658"/>
      <c r="S137" s="658"/>
      <c r="T137" s="659"/>
    </row>
    <row r="138" spans="2:20" ht="6.75" customHeight="1" hidden="1">
      <c r="B138" s="653"/>
      <c r="C138" s="653"/>
      <c r="D138" s="653"/>
      <c r="E138" s="653"/>
      <c r="F138" s="653"/>
      <c r="G138" s="653"/>
      <c r="H138" s="653"/>
      <c r="I138" s="653"/>
      <c r="J138" s="653"/>
      <c r="K138" s="169"/>
      <c r="L138" s="657"/>
      <c r="M138" s="658"/>
      <c r="N138" s="658"/>
      <c r="O138" s="658"/>
      <c r="P138" s="658"/>
      <c r="Q138" s="658"/>
      <c r="R138" s="658"/>
      <c r="S138" s="658"/>
      <c r="T138" s="659"/>
    </row>
    <row r="139" spans="2:20" ht="3" customHeight="1">
      <c r="B139" s="653"/>
      <c r="C139" s="653"/>
      <c r="D139" s="653"/>
      <c r="E139" s="653"/>
      <c r="F139" s="653"/>
      <c r="G139" s="653"/>
      <c r="H139" s="653"/>
      <c r="I139" s="653"/>
      <c r="J139" s="653"/>
      <c r="K139" s="169"/>
      <c r="L139" s="657"/>
      <c r="M139" s="658"/>
      <c r="N139" s="658"/>
      <c r="O139" s="658"/>
      <c r="P139" s="658"/>
      <c r="Q139" s="658"/>
      <c r="R139" s="658"/>
      <c r="S139" s="658"/>
      <c r="T139" s="659"/>
    </row>
    <row r="140" spans="2:20" ht="0.75" customHeight="1">
      <c r="B140" s="653"/>
      <c r="C140" s="653"/>
      <c r="D140" s="653"/>
      <c r="E140" s="653"/>
      <c r="F140" s="653"/>
      <c r="G140" s="653"/>
      <c r="H140" s="653"/>
      <c r="I140" s="653"/>
      <c r="J140" s="653"/>
      <c r="K140" s="169"/>
      <c r="L140" s="657"/>
      <c r="M140" s="658"/>
      <c r="N140" s="658"/>
      <c r="O140" s="658"/>
      <c r="P140" s="658"/>
      <c r="Q140" s="658"/>
      <c r="R140" s="658"/>
      <c r="S140" s="658"/>
      <c r="T140" s="659"/>
    </row>
    <row r="141" spans="2:20" ht="5.25" customHeight="1">
      <c r="B141" s="653"/>
      <c r="C141" s="653"/>
      <c r="D141" s="653"/>
      <c r="E141" s="653"/>
      <c r="F141" s="653"/>
      <c r="G141" s="653"/>
      <c r="H141" s="653"/>
      <c r="I141" s="653"/>
      <c r="J141" s="653"/>
      <c r="K141" s="169"/>
      <c r="L141" s="657"/>
      <c r="M141" s="658"/>
      <c r="N141" s="658"/>
      <c r="O141" s="658"/>
      <c r="P141" s="658"/>
      <c r="Q141" s="658"/>
      <c r="R141" s="658"/>
      <c r="S141" s="658"/>
      <c r="T141" s="659"/>
    </row>
    <row r="142" spans="2:20" ht="9" customHeight="1">
      <c r="B142" s="653"/>
      <c r="C142" s="653"/>
      <c r="D142" s="653"/>
      <c r="E142" s="653"/>
      <c r="F142" s="653"/>
      <c r="G142" s="653"/>
      <c r="H142" s="653"/>
      <c r="I142" s="653"/>
      <c r="J142" s="653"/>
      <c r="K142" s="169"/>
      <c r="L142" s="657"/>
      <c r="M142" s="658"/>
      <c r="N142" s="658"/>
      <c r="O142" s="658"/>
      <c r="P142" s="658"/>
      <c r="Q142" s="658"/>
      <c r="R142" s="658"/>
      <c r="S142" s="658"/>
      <c r="T142" s="659"/>
    </row>
    <row r="143" spans="2:20" ht="0.75" customHeight="1">
      <c r="B143" s="653"/>
      <c r="C143" s="653"/>
      <c r="D143" s="653"/>
      <c r="E143" s="653"/>
      <c r="F143" s="653"/>
      <c r="G143" s="653"/>
      <c r="H143" s="653"/>
      <c r="I143" s="653"/>
      <c r="J143" s="653"/>
      <c r="K143" s="169"/>
      <c r="L143" s="657"/>
      <c r="M143" s="658"/>
      <c r="N143" s="658"/>
      <c r="O143" s="658"/>
      <c r="P143" s="658"/>
      <c r="Q143" s="658"/>
      <c r="R143" s="658"/>
      <c r="S143" s="658"/>
      <c r="T143" s="659"/>
    </row>
    <row r="144" spans="2:20" ht="51" customHeight="1">
      <c r="B144" s="653"/>
      <c r="C144" s="653"/>
      <c r="D144" s="653"/>
      <c r="E144" s="653"/>
      <c r="F144" s="653"/>
      <c r="G144" s="653"/>
      <c r="H144" s="653"/>
      <c r="I144" s="653"/>
      <c r="J144" s="653"/>
      <c r="K144" s="169"/>
      <c r="L144" s="660"/>
      <c r="M144" s="661"/>
      <c r="N144" s="661"/>
      <c r="O144" s="661"/>
      <c r="P144" s="661"/>
      <c r="Q144" s="661"/>
      <c r="R144" s="661"/>
      <c r="S144" s="661"/>
      <c r="T144" s="66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A1" sqref="A1"/>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283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69</v>
      </c>
      <c r="D4" s="667" t="s">
        <v>176</v>
      </c>
      <c r="E4" s="667"/>
      <c r="F4" s="667"/>
      <c r="G4" s="667"/>
      <c r="H4" s="667"/>
      <c r="I4" s="667"/>
      <c r="J4" s="667"/>
      <c r="K4" s="667"/>
      <c r="L4" s="667"/>
      <c r="M4" s="667"/>
      <c r="N4" s="668"/>
      <c r="O4" s="668"/>
      <c r="P4" s="668"/>
      <c r="Q4" s="66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7" t="s">
        <v>159</v>
      </c>
      <c r="M6" s="648"/>
      <c r="N6" s="648"/>
      <c r="O6" s="648"/>
      <c r="P6" s="648"/>
      <c r="Q6" s="64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45" t="s">
        <v>197</v>
      </c>
      <c r="M8" s="637"/>
      <c r="N8" s="637"/>
      <c r="O8" s="637"/>
      <c r="P8" s="637"/>
      <c r="Q8" s="638"/>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39" t="s">
        <v>257</v>
      </c>
      <c r="M10" s="640"/>
      <c r="N10" s="640"/>
      <c r="O10" s="640"/>
      <c r="P10" s="640"/>
      <c r="Q10" s="641"/>
    </row>
    <row r="11" spans="3:17" s="135" customFormat="1" ht="15" customHeight="1">
      <c r="C11" s="232"/>
      <c r="D11" s="136"/>
      <c r="E11" s="137"/>
      <c r="F11" s="137"/>
      <c r="G11" s="137"/>
      <c r="H11" s="137"/>
      <c r="I11" s="137"/>
      <c r="J11" s="137"/>
      <c r="K11" s="137"/>
      <c r="L11" s="639"/>
      <c r="M11" s="640"/>
      <c r="N11" s="640"/>
      <c r="O11" s="640"/>
      <c r="P11" s="640"/>
      <c r="Q11" s="641"/>
    </row>
    <row r="12" spans="3:17" s="135" customFormat="1" ht="15">
      <c r="C12" s="232"/>
      <c r="D12" s="136"/>
      <c r="E12" s="137"/>
      <c r="F12" s="137"/>
      <c r="G12" s="137"/>
      <c r="H12" s="137"/>
      <c r="I12" s="137"/>
      <c r="J12" s="137"/>
      <c r="K12" s="137"/>
      <c r="L12" s="639"/>
      <c r="M12" s="640"/>
      <c r="N12" s="640"/>
      <c r="O12" s="640"/>
      <c r="P12" s="640"/>
      <c r="Q12" s="641"/>
    </row>
    <row r="13" spans="3:17" s="135" customFormat="1" ht="15">
      <c r="C13" s="232"/>
      <c r="D13" s="136"/>
      <c r="E13" s="137"/>
      <c r="F13" s="137"/>
      <c r="G13" s="137"/>
      <c r="H13" s="137"/>
      <c r="I13" s="137"/>
      <c r="J13" s="137"/>
      <c r="K13" s="137"/>
      <c r="L13" s="639"/>
      <c r="M13" s="640"/>
      <c r="N13" s="640"/>
      <c r="O13" s="640"/>
      <c r="P13" s="640"/>
      <c r="Q13" s="641"/>
    </row>
    <row r="14" spans="3:17" s="135" customFormat="1" ht="15" customHeight="1">
      <c r="C14" s="232"/>
      <c r="D14" s="136"/>
      <c r="E14" s="137"/>
      <c r="F14" s="137"/>
      <c r="G14" s="137"/>
      <c r="H14" s="137"/>
      <c r="I14" s="137"/>
      <c r="J14" s="137"/>
      <c r="K14" s="137"/>
      <c r="L14" s="639"/>
      <c r="M14" s="640"/>
      <c r="N14" s="640"/>
      <c r="O14" s="640"/>
      <c r="P14" s="640"/>
      <c r="Q14" s="641"/>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70.75">
      <c r="C49" s="670" t="s">
        <v>271</v>
      </c>
      <c r="D49" s="671"/>
      <c r="E49" s="671"/>
      <c r="F49" s="671"/>
      <c r="G49" s="671"/>
      <c r="H49" s="671"/>
      <c r="I49" s="671"/>
      <c r="J49" s="671"/>
      <c r="K49" s="671"/>
      <c r="L49" s="671"/>
      <c r="M49" s="671"/>
      <c r="N49" s="671"/>
      <c r="O49" s="671"/>
      <c r="P49" s="671"/>
      <c r="Q49" s="672"/>
    </row>
    <row r="50" spans="3:17" s="135" customFormat="1" ht="15">
      <c r="C50" s="673"/>
      <c r="D50" s="674"/>
      <c r="E50" s="674"/>
      <c r="F50" s="674"/>
      <c r="G50" s="674"/>
      <c r="H50" s="674"/>
      <c r="I50" s="674"/>
      <c r="J50" s="674"/>
      <c r="K50" s="674"/>
      <c r="L50" s="674"/>
      <c r="M50" s="674"/>
      <c r="N50" s="674"/>
      <c r="O50" s="674"/>
      <c r="P50" s="674"/>
      <c r="Q50" s="675"/>
    </row>
    <row r="51" spans="3:17" s="135" customFormat="1" ht="15">
      <c r="C51" s="651"/>
      <c r="D51" s="652"/>
      <c r="E51" s="652"/>
      <c r="F51" s="652"/>
      <c r="G51" s="652"/>
      <c r="H51" s="652"/>
      <c r="I51" s="652"/>
      <c r="J51" s="652"/>
      <c r="K51" s="652"/>
      <c r="L51" s="652"/>
      <c r="M51" s="652"/>
      <c r="N51" s="652"/>
      <c r="O51" s="652"/>
      <c r="P51" s="652"/>
      <c r="Q51" s="646"/>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75</v>
      </c>
      <c r="E54" s="195" t="s">
        <v>199</v>
      </c>
      <c r="F54" s="194" t="s">
        <v>46</v>
      </c>
      <c r="G54" s="195" t="s">
        <v>200</v>
      </c>
      <c r="H54" s="194" t="s">
        <v>46</v>
      </c>
      <c r="I54" s="195" t="s">
        <v>201</v>
      </c>
      <c r="J54" s="194" t="s">
        <v>46</v>
      </c>
      <c r="K54" s="195" t="s">
        <v>202</v>
      </c>
      <c r="L54" s="194" t="s">
        <v>46</v>
      </c>
      <c r="M54" s="195" t="s">
        <v>203</v>
      </c>
      <c r="N54" s="194" t="s">
        <v>46</v>
      </c>
      <c r="O54" s="195" t="s">
        <v>204</v>
      </c>
      <c r="P54" s="196" t="s">
        <v>46</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76</v>
      </c>
      <c r="D56" s="650" t="s">
        <v>77</v>
      </c>
      <c r="E56" s="644"/>
      <c r="F56" s="650" t="s">
        <v>78</v>
      </c>
      <c r="G56" s="644"/>
      <c r="H56" s="650" t="s">
        <v>177</v>
      </c>
      <c r="I56" s="644"/>
      <c r="J56" s="650" t="s">
        <v>81</v>
      </c>
      <c r="K56" s="644"/>
      <c r="L56" s="650" t="s">
        <v>178</v>
      </c>
      <c r="M56" s="644"/>
      <c r="N56" s="650" t="s">
        <v>79</v>
      </c>
      <c r="O56" s="644"/>
      <c r="P56" s="650" t="s">
        <v>80</v>
      </c>
      <c r="Q56" s="635"/>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36" t="s">
        <v>45</v>
      </c>
      <c r="Q58" s="676"/>
    </row>
    <row r="59" spans="2:17" ht="15">
      <c r="B59" s="209"/>
      <c r="C59" s="257" t="str">
        <f>C54</f>
        <v>EnCOBBIPt</v>
      </c>
      <c r="D59" s="184">
        <f>SUM(D61:D67)</f>
        <v>-422426</v>
      </c>
      <c r="E59" s="184">
        <f>SUM(E61:E67)</f>
        <v>-856046</v>
      </c>
      <c r="F59" s="184">
        <f>SUM(F61:F67)</f>
        <v>-28662</v>
      </c>
      <c r="G59" s="184"/>
      <c r="H59" s="184"/>
      <c r="I59" s="184"/>
      <c r="J59" s="184"/>
      <c r="K59" s="184"/>
      <c r="L59" s="184"/>
      <c r="M59" s="184"/>
      <c r="N59" s="184"/>
      <c r="O59" s="184"/>
      <c r="P59" s="677">
        <f>SUM(D59:O59)</f>
        <v>-1307134</v>
      </c>
      <c r="Q59" s="678"/>
    </row>
    <row r="60" spans="2:17" ht="28.5">
      <c r="B60" s="209"/>
      <c r="C60" s="258" t="s">
        <v>98</v>
      </c>
      <c r="D60" s="185">
        <f>D59</f>
        <v>-422426</v>
      </c>
      <c r="E60" s="185">
        <f>D60+E59</f>
        <v>-1278472</v>
      </c>
      <c r="F60" s="185">
        <f>E60+F59</f>
        <v>-1307134</v>
      </c>
      <c r="G60" s="185">
        <f aca="true" t="shared" si="0" ref="G60:O60">IF(G59="","",F60+G59)</f>
      </c>
      <c r="H60" s="185">
        <f t="shared" si="0"/>
      </c>
      <c r="I60" s="185">
        <f t="shared" si="0"/>
      </c>
      <c r="J60" s="185">
        <f t="shared" si="0"/>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c r="H61" s="210"/>
      <c r="I61" s="210"/>
      <c r="J61" s="210"/>
      <c r="K61" s="210"/>
      <c r="L61" s="210"/>
      <c r="M61" s="182"/>
      <c r="N61" s="182"/>
      <c r="O61" s="182"/>
      <c r="P61" s="642">
        <f aca="true" t="shared" si="1" ref="P61:P67">SUM(D61:O61)</f>
        <v>0</v>
      </c>
      <c r="Q61" s="643"/>
    </row>
    <row r="62" spans="2:17" ht="15">
      <c r="B62" s="209"/>
      <c r="C62" s="261" t="str">
        <f>G54</f>
        <v>AOEnCRDt</v>
      </c>
      <c r="D62" s="187">
        <v>-7697</v>
      </c>
      <c r="E62" s="187">
        <v>-6003</v>
      </c>
      <c r="F62" s="187">
        <v>-5931</v>
      </c>
      <c r="G62" s="210"/>
      <c r="H62" s="210"/>
      <c r="I62" s="210"/>
      <c r="J62" s="182"/>
      <c r="K62" s="182"/>
      <c r="L62" s="182"/>
      <c r="M62" s="182"/>
      <c r="N62" s="182"/>
      <c r="O62" s="182"/>
      <c r="P62" s="642">
        <f t="shared" si="1"/>
        <v>-19631</v>
      </c>
      <c r="Q62" s="643"/>
    </row>
    <row r="63" spans="2:17" ht="15">
      <c r="B63" s="209"/>
      <c r="C63" s="261" t="str">
        <f>I54</f>
        <v>REVICt</v>
      </c>
      <c r="D63" s="187">
        <v>-14146</v>
      </c>
      <c r="E63" s="187">
        <v>-14867</v>
      </c>
      <c r="F63" s="187">
        <v>-7794</v>
      </c>
      <c r="G63" s="210"/>
      <c r="H63" s="210"/>
      <c r="I63" s="210"/>
      <c r="J63" s="182"/>
      <c r="K63" s="182"/>
      <c r="L63" s="182"/>
      <c r="M63" s="182"/>
      <c r="N63" s="182"/>
      <c r="O63" s="182"/>
      <c r="P63" s="642">
        <f t="shared" si="1"/>
        <v>-36807</v>
      </c>
      <c r="Q63" s="643"/>
    </row>
    <row r="64" spans="2:17" ht="28.5">
      <c r="B64" s="209"/>
      <c r="C64" s="261" t="str">
        <f>K54</f>
        <v>(ANOEnCRt - EnCNOIRt)</v>
      </c>
      <c r="D64" s="187">
        <v>0</v>
      </c>
      <c r="E64" s="187">
        <v>0</v>
      </c>
      <c r="F64" s="187">
        <v>0</v>
      </c>
      <c r="G64" s="210"/>
      <c r="H64" s="210"/>
      <c r="I64" s="210"/>
      <c r="J64" s="188"/>
      <c r="K64" s="188"/>
      <c r="L64" s="188"/>
      <c r="M64" s="188"/>
      <c r="N64" s="188"/>
      <c r="O64" s="188"/>
      <c r="P64" s="642">
        <f t="shared" si="1"/>
        <v>0</v>
      </c>
      <c r="Q64" s="643"/>
    </row>
    <row r="65" spans="2:17" ht="15">
      <c r="B65" s="209"/>
      <c r="C65" s="261" t="str">
        <f>M54</f>
        <v>RCORt</v>
      </c>
      <c r="D65" s="187">
        <v>-10738</v>
      </c>
      <c r="E65" s="187">
        <v>-35510</v>
      </c>
      <c r="F65" s="187">
        <v>-14937</v>
      </c>
      <c r="G65" s="210"/>
      <c r="H65" s="210"/>
      <c r="I65" s="210"/>
      <c r="J65" s="182"/>
      <c r="K65" s="182"/>
      <c r="L65" s="182"/>
      <c r="M65" s="182"/>
      <c r="N65" s="182"/>
      <c r="O65" s="182"/>
      <c r="P65" s="642">
        <f t="shared" si="1"/>
        <v>-61185</v>
      </c>
      <c r="Q65" s="643"/>
    </row>
    <row r="66" spans="2:17" ht="15">
      <c r="B66" s="209"/>
      <c r="C66" s="262" t="str">
        <f>O54</f>
        <v>RLOCt</v>
      </c>
      <c r="D66" s="189">
        <v>-389845</v>
      </c>
      <c r="E66" s="189">
        <v>-799666</v>
      </c>
      <c r="F66" s="180">
        <v>0</v>
      </c>
      <c r="G66" s="181"/>
      <c r="H66" s="181"/>
      <c r="I66" s="181"/>
      <c r="J66" s="182"/>
      <c r="K66" s="190"/>
      <c r="L66" s="182"/>
      <c r="M66" s="182"/>
      <c r="N66" s="182"/>
      <c r="O66" s="182"/>
      <c r="P66" s="642">
        <f t="shared" si="1"/>
        <v>-1189511</v>
      </c>
      <c r="Q66" s="643"/>
    </row>
    <row r="67" spans="2:17" ht="15.75" thickBot="1">
      <c r="B67" s="209"/>
      <c r="C67" s="263" t="str">
        <f>Q54</f>
        <v>RADDt</v>
      </c>
      <c r="D67" s="191">
        <v>0</v>
      </c>
      <c r="E67" s="191">
        <v>0</v>
      </c>
      <c r="F67" s="191">
        <v>0</v>
      </c>
      <c r="G67" s="192"/>
      <c r="H67" s="192"/>
      <c r="I67" s="192"/>
      <c r="J67" s="193"/>
      <c r="K67" s="193"/>
      <c r="L67" s="193"/>
      <c r="M67" s="193"/>
      <c r="N67" s="193"/>
      <c r="O67" s="193"/>
      <c r="P67" s="679">
        <f t="shared" si="1"/>
        <v>0</v>
      </c>
      <c r="Q67" s="68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23</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79">
      <selection activeCell="B2" sqref="B2"/>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73</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69</v>
      </c>
      <c r="C6" s="692" t="s">
        <v>20</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159</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45" t="s">
        <v>208</v>
      </c>
      <c r="I12" s="637"/>
      <c r="J12" s="637"/>
      <c r="K12" s="638"/>
    </row>
    <row r="13" spans="2:11" ht="14.25">
      <c r="B13" s="245"/>
      <c r="C13" s="270"/>
      <c r="D13" s="212"/>
      <c r="E13" s="212"/>
      <c r="F13" s="212"/>
      <c r="G13" s="212"/>
      <c r="H13" s="148"/>
      <c r="I13" s="149"/>
      <c r="J13" s="199"/>
      <c r="K13" s="246"/>
    </row>
    <row r="14" spans="2:11" ht="11.25" customHeight="1">
      <c r="B14" s="245"/>
      <c r="C14" s="270"/>
      <c r="D14" s="212"/>
      <c r="E14" s="212"/>
      <c r="F14" s="212"/>
      <c r="G14" s="212"/>
      <c r="H14" s="639" t="s">
        <v>260</v>
      </c>
      <c r="I14" s="640"/>
      <c r="J14" s="640"/>
      <c r="K14" s="641"/>
    </row>
    <row r="15" spans="2:11" ht="11.25" customHeight="1">
      <c r="B15" s="245"/>
      <c r="C15" s="270"/>
      <c r="D15" s="212"/>
      <c r="E15" s="212"/>
      <c r="F15" s="212"/>
      <c r="G15" s="212"/>
      <c r="H15" s="639"/>
      <c r="I15" s="640"/>
      <c r="J15" s="640"/>
      <c r="K15" s="641"/>
    </row>
    <row r="16" spans="2:11" ht="11.25" customHeight="1">
      <c r="B16" s="245"/>
      <c r="C16" s="270"/>
      <c r="D16" s="212"/>
      <c r="E16" s="212"/>
      <c r="F16" s="212"/>
      <c r="G16" s="212"/>
      <c r="H16" s="639"/>
      <c r="I16" s="640"/>
      <c r="J16" s="640"/>
      <c r="K16" s="641"/>
    </row>
    <row r="17" spans="2:11" ht="11.25" customHeight="1">
      <c r="B17" s="245"/>
      <c r="C17" s="270"/>
      <c r="D17" s="212"/>
      <c r="E17" s="212"/>
      <c r="F17" s="212"/>
      <c r="G17" s="212"/>
      <c r="H17" s="639"/>
      <c r="I17" s="640"/>
      <c r="J17" s="640"/>
      <c r="K17" s="641"/>
    </row>
    <row r="18" spans="2:11" ht="11.25" customHeight="1">
      <c r="B18" s="245"/>
      <c r="C18" s="270"/>
      <c r="D18" s="212"/>
      <c r="E18" s="212"/>
      <c r="F18" s="212"/>
      <c r="G18" s="212"/>
      <c r="H18" s="639"/>
      <c r="I18" s="640"/>
      <c r="J18" s="640"/>
      <c r="K18" s="641"/>
    </row>
    <row r="19" spans="2:11" ht="11.25" customHeight="1">
      <c r="B19" s="245"/>
      <c r="C19" s="270"/>
      <c r="D19" s="212"/>
      <c r="E19" s="212"/>
      <c r="F19" s="212"/>
      <c r="G19" s="212"/>
      <c r="H19" s="639"/>
      <c r="I19" s="640"/>
      <c r="J19" s="640"/>
      <c r="K19" s="641"/>
    </row>
    <row r="20" spans="2:11" ht="21.75" customHeight="1">
      <c r="B20" s="245"/>
      <c r="C20" s="270"/>
      <c r="D20" s="212"/>
      <c r="E20" s="212"/>
      <c r="F20" s="212"/>
      <c r="G20" s="212"/>
      <c r="H20" s="639"/>
      <c r="I20" s="640"/>
      <c r="J20" s="640"/>
      <c r="K20" s="641"/>
    </row>
    <row r="21" spans="2:11" ht="11.25" customHeight="1">
      <c r="B21" s="245"/>
      <c r="C21" s="270"/>
      <c r="D21" s="212"/>
      <c r="E21" s="212"/>
      <c r="F21" s="212"/>
      <c r="G21" s="212"/>
      <c r="H21" s="639"/>
      <c r="I21" s="640"/>
      <c r="J21" s="640"/>
      <c r="K21" s="641"/>
    </row>
    <row r="22" spans="2:11" ht="11.25" customHeight="1">
      <c r="B22" s="245"/>
      <c r="C22" s="270"/>
      <c r="D22" s="212"/>
      <c r="E22" s="212"/>
      <c r="F22" s="212"/>
      <c r="G22" s="212"/>
      <c r="H22" s="639"/>
      <c r="I22" s="640"/>
      <c r="J22" s="640"/>
      <c r="K22" s="641"/>
    </row>
    <row r="23" spans="2:11" ht="11.25" customHeight="1">
      <c r="B23" s="245"/>
      <c r="C23" s="270"/>
      <c r="D23" s="212"/>
      <c r="E23" s="212"/>
      <c r="F23" s="212"/>
      <c r="G23" s="212"/>
      <c r="H23" s="639"/>
      <c r="I23" s="640"/>
      <c r="J23" s="640"/>
      <c r="K23" s="641"/>
    </row>
    <row r="24" spans="2:11" ht="20.25" customHeight="1">
      <c r="B24" s="245"/>
      <c r="C24" s="270"/>
      <c r="D24" s="212"/>
      <c r="E24" s="212"/>
      <c r="F24" s="212"/>
      <c r="G24" s="212"/>
      <c r="H24" s="639"/>
      <c r="I24" s="640"/>
      <c r="J24" s="640"/>
      <c r="K24" s="641"/>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270</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40</v>
      </c>
      <c r="C68" s="276" t="s">
        <v>25</v>
      </c>
      <c r="D68" s="277" t="s">
        <v>26</v>
      </c>
      <c r="E68" s="277" t="s">
        <v>27</v>
      </c>
      <c r="F68" s="277" t="s">
        <v>28</v>
      </c>
      <c r="G68" s="277" t="s">
        <v>29</v>
      </c>
      <c r="H68" s="277" t="s">
        <v>67</v>
      </c>
      <c r="I68" s="277" t="s">
        <v>68</v>
      </c>
      <c r="J68" s="277" t="s">
        <v>30</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c r="D72" s="280"/>
      <c r="E72" s="281">
        <f t="shared" si="2"/>
      </c>
      <c r="F72" s="282">
        <f t="shared" si="2"/>
      </c>
      <c r="G72" s="283">
        <f t="shared" si="0"/>
      </c>
      <c r="H72" s="288"/>
      <c r="I72" s="288"/>
      <c r="J72" s="283">
        <f t="shared" si="1"/>
      </c>
      <c r="K72" s="306"/>
      <c r="L72" s="278"/>
      <c r="M72" s="265"/>
      <c r="N72" s="285"/>
      <c r="O72" s="270"/>
      <c r="P72" s="286"/>
      <c r="Q72" s="286"/>
      <c r="R72" s="212"/>
      <c r="S72" s="286"/>
    </row>
    <row r="73" spans="2:19" ht="14.25">
      <c r="B73" s="305">
        <v>40756</v>
      </c>
      <c r="C73" s="182"/>
      <c r="D73" s="280"/>
      <c r="E73" s="281">
        <f t="shared" si="2"/>
      </c>
      <c r="F73" s="282">
        <f t="shared" si="2"/>
      </c>
      <c r="G73" s="283">
        <f t="shared" si="0"/>
      </c>
      <c r="H73" s="288"/>
      <c r="I73" s="288"/>
      <c r="J73" s="283">
        <f t="shared" si="1"/>
      </c>
      <c r="K73" s="306"/>
      <c r="L73" s="278"/>
      <c r="M73" s="285"/>
      <c r="N73" s="285"/>
      <c r="O73" s="270"/>
      <c r="P73" s="286"/>
      <c r="Q73" s="286"/>
      <c r="R73" s="212"/>
      <c r="S73" s="286"/>
    </row>
    <row r="74" spans="2:19" ht="14.25">
      <c r="B74" s="305">
        <v>40787</v>
      </c>
      <c r="C74" s="182"/>
      <c r="D74" s="280"/>
      <c r="E74" s="281">
        <f t="shared" si="2"/>
      </c>
      <c r="F74" s="282">
        <f t="shared" si="2"/>
      </c>
      <c r="G74" s="283">
        <f t="shared" si="0"/>
      </c>
      <c r="H74" s="288"/>
      <c r="I74" s="288"/>
      <c r="J74" s="283">
        <f t="shared" si="1"/>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6">
      <selection activeCell="A1" sqref="A1"/>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69</v>
      </c>
      <c r="C6" s="708" t="s">
        <v>288</v>
      </c>
      <c r="D6" s="709"/>
      <c r="E6" s="709"/>
      <c r="F6" s="709"/>
      <c r="G6" s="709"/>
      <c r="H6" s="709"/>
      <c r="I6" s="709"/>
      <c r="J6" s="709"/>
      <c r="K6" s="709"/>
      <c r="L6" s="709"/>
      <c r="M6" s="709"/>
      <c r="N6" s="709"/>
      <c r="O6" s="709"/>
      <c r="P6" s="709"/>
      <c r="Q6" s="71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698" t="s">
        <v>102</v>
      </c>
      <c r="E8" s="698"/>
      <c r="F8" s="698"/>
      <c r="G8" s="698" t="s">
        <v>103</v>
      </c>
      <c r="H8" s="698"/>
      <c r="I8" s="698"/>
      <c r="J8" s="698" t="s">
        <v>104</v>
      </c>
      <c r="K8" s="698"/>
      <c r="L8" s="698"/>
      <c r="M8" s="293"/>
      <c r="N8" s="293"/>
      <c r="O8" s="293"/>
      <c r="P8" s="293"/>
      <c r="Q8" s="298"/>
      <c r="S8" s="293"/>
      <c r="T8" s="315"/>
    </row>
    <row r="9" spans="2:20" s="314" customFormat="1" ht="89.25" customHeight="1">
      <c r="B9" s="353" t="s">
        <v>99</v>
      </c>
      <c r="C9" s="316" t="s">
        <v>109</v>
      </c>
      <c r="D9" s="699" t="s">
        <v>110</v>
      </c>
      <c r="E9" s="699"/>
      <c r="F9" s="699"/>
      <c r="G9" s="699" t="s">
        <v>112</v>
      </c>
      <c r="H9" s="699"/>
      <c r="I9" s="699"/>
      <c r="J9" s="699" t="s">
        <v>111</v>
      </c>
      <c r="K9" s="699"/>
      <c r="L9" s="69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698" t="s">
        <v>105</v>
      </c>
      <c r="E11" s="698"/>
      <c r="F11" s="698"/>
      <c r="G11" s="698" t="s">
        <v>106</v>
      </c>
      <c r="H11" s="698"/>
      <c r="I11" s="698"/>
      <c r="J11" s="698" t="s">
        <v>107</v>
      </c>
      <c r="K11" s="698"/>
      <c r="L11" s="698"/>
      <c r="M11" s="698" t="s">
        <v>108</v>
      </c>
      <c r="N11" s="698"/>
      <c r="O11" s="698"/>
      <c r="P11" s="212"/>
      <c r="Q11" s="246"/>
    </row>
    <row r="12" spans="2:17" ht="68.25" customHeight="1">
      <c r="B12" s="353" t="s">
        <v>99</v>
      </c>
      <c r="C12" s="318" t="s">
        <v>119</v>
      </c>
      <c r="D12" s="699" t="s">
        <v>113</v>
      </c>
      <c r="E12" s="699"/>
      <c r="F12" s="699"/>
      <c r="G12" s="699" t="s">
        <v>114</v>
      </c>
      <c r="H12" s="699"/>
      <c r="I12" s="699"/>
      <c r="J12" s="699" t="s">
        <v>115</v>
      </c>
      <c r="K12" s="699"/>
      <c r="L12" s="699"/>
      <c r="M12" s="699" t="s">
        <v>218</v>
      </c>
      <c r="N12" s="699"/>
      <c r="O12" s="69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159</v>
      </c>
      <c r="K15" s="696"/>
      <c r="L15" s="696"/>
      <c r="M15" s="696"/>
      <c r="N15" s="696"/>
      <c r="O15" s="696"/>
      <c r="P15" s="696"/>
      <c r="Q15" s="697"/>
    </row>
    <row r="16" spans="2:17" ht="14.25" customHeight="1">
      <c r="B16" s="245"/>
      <c r="C16" s="212"/>
      <c r="D16" s="212"/>
      <c r="E16" s="212"/>
      <c r="F16" s="212"/>
      <c r="G16" s="212"/>
      <c r="H16" s="212"/>
      <c r="I16" s="212"/>
      <c r="J16" s="706"/>
      <c r="K16" s="707"/>
      <c r="L16" s="707"/>
      <c r="M16" s="707"/>
      <c r="N16" s="707"/>
      <c r="O16" s="707"/>
      <c r="P16" s="707"/>
      <c r="Q16" s="682"/>
    </row>
    <row r="17" spans="2:17" ht="11.25" customHeight="1">
      <c r="B17" s="245"/>
      <c r="C17" s="212"/>
      <c r="D17" s="212"/>
      <c r="E17" s="212"/>
      <c r="F17" s="212"/>
      <c r="G17" s="212"/>
      <c r="H17" s="212"/>
      <c r="I17" s="212"/>
      <c r="J17" s="645" t="s">
        <v>211</v>
      </c>
      <c r="K17" s="637"/>
      <c r="L17" s="637"/>
      <c r="M17" s="637"/>
      <c r="N17" s="637"/>
      <c r="O17" s="637"/>
      <c r="P17" s="637"/>
      <c r="Q17" s="638"/>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00" t="s">
        <v>24</v>
      </c>
      <c r="K19" s="701"/>
      <c r="L19" s="701"/>
      <c r="M19" s="701"/>
      <c r="N19" s="701"/>
      <c r="O19" s="701"/>
      <c r="P19" s="701"/>
      <c r="Q19" s="702"/>
    </row>
    <row r="20" spans="2:17" ht="11.25" customHeight="1">
      <c r="B20" s="245"/>
      <c r="C20" s="212"/>
      <c r="D20" s="212"/>
      <c r="E20" s="212"/>
      <c r="F20" s="212"/>
      <c r="G20" s="212"/>
      <c r="H20" s="212"/>
      <c r="I20" s="212"/>
      <c r="J20" s="700"/>
      <c r="K20" s="701"/>
      <c r="L20" s="701"/>
      <c r="M20" s="701"/>
      <c r="N20" s="701"/>
      <c r="O20" s="701"/>
      <c r="P20" s="701"/>
      <c r="Q20" s="702"/>
    </row>
    <row r="21" spans="2:17" ht="11.25" customHeight="1">
      <c r="B21" s="245"/>
      <c r="C21" s="212"/>
      <c r="D21" s="212"/>
      <c r="E21" s="212"/>
      <c r="F21" s="212"/>
      <c r="G21" s="212"/>
      <c r="H21" s="212"/>
      <c r="I21" s="212"/>
      <c r="J21" s="700"/>
      <c r="K21" s="701"/>
      <c r="L21" s="701"/>
      <c r="M21" s="701"/>
      <c r="N21" s="701"/>
      <c r="O21" s="701"/>
      <c r="P21" s="701"/>
      <c r="Q21" s="702"/>
    </row>
    <row r="22" spans="2:17" ht="11.25" customHeight="1">
      <c r="B22" s="245"/>
      <c r="C22" s="212"/>
      <c r="D22" s="212"/>
      <c r="E22" s="212"/>
      <c r="F22" s="212"/>
      <c r="G22" s="212"/>
      <c r="H22" s="212"/>
      <c r="I22" s="212"/>
      <c r="J22" s="700"/>
      <c r="K22" s="701"/>
      <c r="L22" s="701"/>
      <c r="M22" s="701"/>
      <c r="N22" s="701"/>
      <c r="O22" s="701"/>
      <c r="P22" s="701"/>
      <c r="Q22" s="702"/>
    </row>
    <row r="23" spans="2:17" ht="11.25" customHeight="1">
      <c r="B23" s="245"/>
      <c r="C23" s="212"/>
      <c r="D23" s="212"/>
      <c r="E23" s="212"/>
      <c r="F23" s="212"/>
      <c r="G23" s="212"/>
      <c r="H23" s="212"/>
      <c r="I23" s="212"/>
      <c r="J23" s="700"/>
      <c r="K23" s="701"/>
      <c r="L23" s="701"/>
      <c r="M23" s="701"/>
      <c r="N23" s="701"/>
      <c r="O23" s="701"/>
      <c r="P23" s="701"/>
      <c r="Q23" s="702"/>
    </row>
    <row r="24" spans="2:17" ht="11.25" customHeight="1">
      <c r="B24" s="245"/>
      <c r="C24" s="212"/>
      <c r="D24" s="212"/>
      <c r="E24" s="212"/>
      <c r="F24" s="212"/>
      <c r="G24" s="212"/>
      <c r="H24" s="212"/>
      <c r="I24" s="212"/>
      <c r="J24" s="700"/>
      <c r="K24" s="701"/>
      <c r="L24" s="701"/>
      <c r="M24" s="701"/>
      <c r="N24" s="701"/>
      <c r="O24" s="701"/>
      <c r="P24" s="701"/>
      <c r="Q24" s="702"/>
    </row>
    <row r="25" spans="2:17" ht="11.25" customHeight="1">
      <c r="B25" s="245"/>
      <c r="C25" s="212"/>
      <c r="D25" s="212"/>
      <c r="E25" s="212"/>
      <c r="F25" s="212"/>
      <c r="G25" s="212"/>
      <c r="H25" s="212"/>
      <c r="I25" s="212"/>
      <c r="J25" s="700"/>
      <c r="K25" s="701"/>
      <c r="L25" s="701"/>
      <c r="M25" s="701"/>
      <c r="N25" s="701"/>
      <c r="O25" s="701"/>
      <c r="P25" s="701"/>
      <c r="Q25" s="702"/>
    </row>
    <row r="26" spans="2:17" ht="11.25" customHeight="1">
      <c r="B26" s="245"/>
      <c r="C26" s="212"/>
      <c r="D26" s="212"/>
      <c r="E26" s="212"/>
      <c r="F26" s="212"/>
      <c r="G26" s="212"/>
      <c r="H26" s="212"/>
      <c r="I26" s="212"/>
      <c r="J26" s="700"/>
      <c r="K26" s="701"/>
      <c r="L26" s="701"/>
      <c r="M26" s="701"/>
      <c r="N26" s="701"/>
      <c r="O26" s="701"/>
      <c r="P26" s="701"/>
      <c r="Q26" s="702"/>
    </row>
    <row r="27" spans="2:17" ht="11.25" customHeight="1">
      <c r="B27" s="245"/>
      <c r="C27" s="212"/>
      <c r="D27" s="212"/>
      <c r="E27" s="212"/>
      <c r="F27" s="212"/>
      <c r="G27" s="212"/>
      <c r="H27" s="212"/>
      <c r="I27" s="212"/>
      <c r="J27" s="700"/>
      <c r="K27" s="701"/>
      <c r="L27" s="701"/>
      <c r="M27" s="701"/>
      <c r="N27" s="701"/>
      <c r="O27" s="701"/>
      <c r="P27" s="701"/>
      <c r="Q27" s="702"/>
    </row>
    <row r="28" spans="2:17" ht="11.25" customHeight="1">
      <c r="B28" s="245"/>
      <c r="C28" s="212"/>
      <c r="D28" s="212"/>
      <c r="E28" s="212"/>
      <c r="F28" s="212"/>
      <c r="G28" s="212"/>
      <c r="H28" s="212"/>
      <c r="I28" s="212"/>
      <c r="J28" s="700"/>
      <c r="K28" s="701"/>
      <c r="L28" s="701"/>
      <c r="M28" s="701"/>
      <c r="N28" s="701"/>
      <c r="O28" s="701"/>
      <c r="P28" s="701"/>
      <c r="Q28" s="702"/>
    </row>
    <row r="29" spans="2:17" ht="11.25">
      <c r="B29" s="245"/>
      <c r="C29" s="212"/>
      <c r="D29" s="212"/>
      <c r="E29" s="212"/>
      <c r="F29" s="212"/>
      <c r="G29" s="212"/>
      <c r="H29" s="212"/>
      <c r="I29" s="212"/>
      <c r="J29" s="700"/>
      <c r="K29" s="701"/>
      <c r="L29" s="701"/>
      <c r="M29" s="701"/>
      <c r="N29" s="701"/>
      <c r="O29" s="701"/>
      <c r="P29" s="701"/>
      <c r="Q29" s="702"/>
    </row>
    <row r="30" spans="2:17" ht="11.25">
      <c r="B30" s="245"/>
      <c r="C30" s="212"/>
      <c r="D30" s="212"/>
      <c r="E30" s="212"/>
      <c r="F30" s="212"/>
      <c r="G30" s="212"/>
      <c r="H30" s="212"/>
      <c r="I30" s="212"/>
      <c r="J30" s="700"/>
      <c r="K30" s="701"/>
      <c r="L30" s="701"/>
      <c r="M30" s="701"/>
      <c r="N30" s="701"/>
      <c r="O30" s="701"/>
      <c r="P30" s="701"/>
      <c r="Q30" s="702"/>
    </row>
    <row r="31" spans="2:17" ht="11.25">
      <c r="B31" s="245"/>
      <c r="C31" s="212"/>
      <c r="D31" s="212"/>
      <c r="E31" s="212"/>
      <c r="F31" s="212"/>
      <c r="G31" s="212"/>
      <c r="H31" s="212"/>
      <c r="I31" s="212"/>
      <c r="J31" s="700"/>
      <c r="K31" s="701"/>
      <c r="L31" s="701"/>
      <c r="M31" s="701"/>
      <c r="N31" s="701"/>
      <c r="O31" s="701"/>
      <c r="P31" s="701"/>
      <c r="Q31" s="702"/>
    </row>
    <row r="32" spans="2:17" ht="11.25">
      <c r="B32" s="245"/>
      <c r="C32" s="212"/>
      <c r="D32" s="212"/>
      <c r="E32" s="212"/>
      <c r="F32" s="212"/>
      <c r="G32" s="212"/>
      <c r="H32" s="212"/>
      <c r="I32" s="212"/>
      <c r="J32" s="700"/>
      <c r="K32" s="701"/>
      <c r="L32" s="701"/>
      <c r="M32" s="701"/>
      <c r="N32" s="701"/>
      <c r="O32" s="701"/>
      <c r="P32" s="701"/>
      <c r="Q32" s="702"/>
    </row>
    <row r="33" spans="2:17" ht="11.25">
      <c r="B33" s="245"/>
      <c r="C33" s="212"/>
      <c r="D33" s="212"/>
      <c r="E33" s="212"/>
      <c r="F33" s="212"/>
      <c r="G33" s="212"/>
      <c r="H33" s="212"/>
      <c r="I33" s="212"/>
      <c r="J33" s="700"/>
      <c r="K33" s="701"/>
      <c r="L33" s="701"/>
      <c r="M33" s="701"/>
      <c r="N33" s="701"/>
      <c r="O33" s="701"/>
      <c r="P33" s="701"/>
      <c r="Q33" s="702"/>
    </row>
    <row r="34" spans="2:17" ht="11.25">
      <c r="B34" s="245"/>
      <c r="C34" s="212"/>
      <c r="D34" s="212"/>
      <c r="E34" s="212"/>
      <c r="F34" s="212"/>
      <c r="G34" s="212"/>
      <c r="H34" s="212"/>
      <c r="I34" s="212"/>
      <c r="J34" s="703"/>
      <c r="K34" s="704"/>
      <c r="L34" s="704"/>
      <c r="M34" s="704"/>
      <c r="N34" s="704"/>
      <c r="O34" s="704"/>
      <c r="P34" s="704"/>
      <c r="Q34" s="70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266</v>
      </c>
      <c r="C63" s="687"/>
      <c r="D63" s="687"/>
      <c r="E63" s="687"/>
      <c r="F63" s="687"/>
      <c r="G63" s="687"/>
      <c r="H63" s="687"/>
      <c r="I63" s="212"/>
      <c r="J63" s="687" t="s">
        <v>267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23" t="s">
        <v>47</v>
      </c>
      <c r="D79" s="72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45</v>
      </c>
      <c r="V79" s="212"/>
      <c r="W79" s="323"/>
      <c r="X79" s="323"/>
      <c r="Y79" s="323"/>
      <c r="Z79" s="323"/>
      <c r="AA79" s="323"/>
      <c r="AB79" s="323"/>
      <c r="AC79" s="323"/>
      <c r="AD79" s="323"/>
      <c r="AE79" s="323"/>
      <c r="AF79" s="323"/>
      <c r="AG79" s="323"/>
      <c r="AH79" s="323"/>
      <c r="AI79" s="293"/>
    </row>
    <row r="80" spans="2:35" ht="14.25">
      <c r="B80" s="720" t="s">
        <v>222</v>
      </c>
      <c r="C80" s="725" t="s">
        <v>49</v>
      </c>
      <c r="D80" s="726"/>
      <c r="E80" s="324">
        <v>3607.603484536546</v>
      </c>
      <c r="F80" s="325">
        <v>-46.35110715938116</v>
      </c>
      <c r="G80" s="325">
        <v>-109.43373159441192</v>
      </c>
      <c r="H80" s="325"/>
      <c r="I80" s="325"/>
      <c r="J80" s="325"/>
      <c r="K80" s="182"/>
      <c r="L80" s="182"/>
      <c r="M80" s="325"/>
      <c r="N80" s="325"/>
      <c r="O80" s="325"/>
      <c r="P80" s="326"/>
      <c r="Q80" s="357">
        <f>SUM(E80:P80)</f>
        <v>3451.8186457827533</v>
      </c>
      <c r="S80" s="327"/>
      <c r="V80" s="212"/>
      <c r="W80" s="328"/>
      <c r="X80" s="328"/>
      <c r="Y80" s="328"/>
      <c r="Z80" s="328"/>
      <c r="AA80" s="328"/>
      <c r="AB80" s="328"/>
      <c r="AC80" s="328"/>
      <c r="AD80" s="328"/>
      <c r="AE80" s="328"/>
      <c r="AF80" s="328"/>
      <c r="AG80" s="328"/>
      <c r="AH80" s="328"/>
      <c r="AI80" s="328"/>
    </row>
    <row r="81" spans="2:35" ht="15" thickBot="1">
      <c r="B81" s="721"/>
      <c r="C81" s="713" t="s">
        <v>48</v>
      </c>
      <c r="D81" s="714"/>
      <c r="E81" s="329">
        <v>3396.468421052631</v>
      </c>
      <c r="F81" s="182">
        <v>-134.2848373235122</v>
      </c>
      <c r="G81" s="182">
        <v>-255.78064252097423</v>
      </c>
      <c r="H81" s="182"/>
      <c r="I81" s="182"/>
      <c r="J81" s="182"/>
      <c r="K81" s="182"/>
      <c r="L81" s="182"/>
      <c r="M81" s="182"/>
      <c r="N81" s="182"/>
      <c r="O81" s="182"/>
      <c r="P81" s="330"/>
      <c r="Q81" s="357">
        <f>SUM(E81:P81)</f>
        <v>3006.402941208145</v>
      </c>
      <c r="V81" s="212"/>
      <c r="W81" s="328"/>
      <c r="X81" s="328"/>
      <c r="Y81" s="328"/>
      <c r="Z81" s="328"/>
      <c r="AA81" s="328"/>
      <c r="AB81" s="328"/>
      <c r="AC81" s="328"/>
      <c r="AD81" s="328"/>
      <c r="AE81" s="328"/>
      <c r="AF81" s="328"/>
      <c r="AG81" s="328"/>
      <c r="AH81" s="328"/>
      <c r="AI81" s="328"/>
    </row>
    <row r="82" spans="2:35" ht="15.75" thickBot="1">
      <c r="B82" s="721"/>
      <c r="C82" s="727" t="s">
        <v>116</v>
      </c>
      <c r="D82" s="728"/>
      <c r="E82" s="331">
        <f aca="true" t="shared" si="0" ref="E82:J82">SUM(E80:E81)</f>
        <v>7004.071905589177</v>
      </c>
      <c r="F82" s="332">
        <f t="shared" si="0"/>
        <v>-180.63594448289336</v>
      </c>
      <c r="G82" s="332">
        <f t="shared" si="0"/>
        <v>-365.21437411538614</v>
      </c>
      <c r="H82" s="332">
        <f t="shared" si="0"/>
        <v>0</v>
      </c>
      <c r="I82" s="332">
        <f t="shared" si="0"/>
        <v>0</v>
      </c>
      <c r="J82" s="332">
        <f t="shared" si="0"/>
        <v>0</v>
      </c>
      <c r="K82" s="332">
        <f aca="true" t="shared" si="1" ref="K82:Q82">SUM(K80:K81)</f>
        <v>0</v>
      </c>
      <c r="L82" s="332">
        <f t="shared" si="1"/>
        <v>0</v>
      </c>
      <c r="M82" s="332">
        <f t="shared" si="1"/>
        <v>0</v>
      </c>
      <c r="N82" s="332">
        <f t="shared" si="1"/>
        <v>0</v>
      </c>
      <c r="O82" s="332">
        <f t="shared" si="1"/>
        <v>0</v>
      </c>
      <c r="P82" s="332">
        <f t="shared" si="1"/>
        <v>0</v>
      </c>
      <c r="Q82" s="358">
        <f t="shared" si="1"/>
        <v>6458.221586990898</v>
      </c>
      <c r="V82" s="212"/>
      <c r="W82" s="212"/>
      <c r="X82" s="212"/>
      <c r="Y82" s="212"/>
      <c r="Z82" s="212"/>
      <c r="AA82" s="212"/>
      <c r="AB82" s="212"/>
      <c r="AC82" s="212"/>
      <c r="AD82" s="212"/>
      <c r="AE82" s="212"/>
      <c r="AF82" s="212"/>
      <c r="AG82" s="212"/>
      <c r="AH82" s="212"/>
      <c r="AI82" s="212"/>
    </row>
    <row r="83" spans="2:35" ht="15">
      <c r="B83" s="721"/>
      <c r="C83" s="725" t="s">
        <v>117</v>
      </c>
      <c r="D83" s="726"/>
      <c r="E83" s="333">
        <f>E80</f>
        <v>3607.603484536546</v>
      </c>
      <c r="F83" s="333">
        <f>E83+F80</f>
        <v>3561.252377377165</v>
      </c>
      <c r="G83" s="333">
        <f>F83+G80</f>
        <v>3451.8186457827533</v>
      </c>
      <c r="H83" s="333">
        <f aca="true" t="shared" si="2" ref="H83:J84">IF(H80="","",G83+H80)</f>
      </c>
      <c r="I83" s="333">
        <f t="shared" si="2"/>
      </c>
      <c r="J83" s="333">
        <f t="shared" si="2"/>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22"/>
      <c r="C84" s="713" t="s">
        <v>118</v>
      </c>
      <c r="D84" s="714"/>
      <c r="E84" s="310">
        <f>E81</f>
        <v>3396.468421052631</v>
      </c>
      <c r="F84" s="310">
        <f>E84+F81</f>
        <v>3262.183583729119</v>
      </c>
      <c r="G84" s="310">
        <f>F84+G81</f>
        <v>3006.402941208145</v>
      </c>
      <c r="H84" s="310">
        <f t="shared" si="2"/>
      </c>
      <c r="I84" s="310">
        <f t="shared" si="2"/>
      </c>
      <c r="J84" s="310">
        <f t="shared" si="2"/>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19" t="s">
        <v>70</v>
      </c>
      <c r="C85" s="715" t="s">
        <v>51</v>
      </c>
      <c r="D85" s="716"/>
      <c r="E85" s="324">
        <v>440</v>
      </c>
      <c r="F85" s="325">
        <v>1053</v>
      </c>
      <c r="G85" s="325">
        <v>1894</v>
      </c>
      <c r="H85" s="325"/>
      <c r="I85" s="325"/>
      <c r="J85" s="325"/>
      <c r="K85" s="325"/>
      <c r="L85" s="325"/>
      <c r="M85" s="325"/>
      <c r="N85" s="325"/>
      <c r="O85" s="325"/>
      <c r="P85" s="326"/>
      <c r="Q85" s="359">
        <f>SUM(E85:P85)</f>
        <v>3387</v>
      </c>
    </row>
    <row r="86" spans="2:17" ht="14.25">
      <c r="B86" s="717"/>
      <c r="C86" s="711" t="s">
        <v>52</v>
      </c>
      <c r="D86" s="712"/>
      <c r="E86" s="335">
        <v>13</v>
      </c>
      <c r="F86" s="289">
        <v>200</v>
      </c>
      <c r="G86" s="289">
        <v>104</v>
      </c>
      <c r="H86" s="289"/>
      <c r="I86" s="289"/>
      <c r="J86" s="289"/>
      <c r="K86" s="289"/>
      <c r="L86" s="289"/>
      <c r="M86" s="289"/>
      <c r="N86" s="289"/>
      <c r="O86" s="289"/>
      <c r="P86" s="336"/>
      <c r="Q86" s="360">
        <f>SUM(E86:P86)</f>
        <v>317</v>
      </c>
    </row>
    <row r="87" spans="2:17" ht="14.25">
      <c r="B87" s="717"/>
      <c r="C87" s="711" t="s">
        <v>53</v>
      </c>
      <c r="D87" s="712"/>
      <c r="E87" s="335">
        <v>32</v>
      </c>
      <c r="F87" s="289">
        <v>217</v>
      </c>
      <c r="G87" s="289">
        <v>126</v>
      </c>
      <c r="H87" s="289"/>
      <c r="I87" s="289"/>
      <c r="J87" s="289"/>
      <c r="K87" s="289"/>
      <c r="L87" s="289"/>
      <c r="M87" s="289"/>
      <c r="N87" s="289"/>
      <c r="O87" s="289"/>
      <c r="P87" s="336"/>
      <c r="Q87" s="360">
        <f>SUM(E87:P87)</f>
        <v>375</v>
      </c>
    </row>
    <row r="88" spans="2:17" ht="14.25">
      <c r="B88" s="717"/>
      <c r="C88" s="711" t="s">
        <v>229</v>
      </c>
      <c r="D88" s="712"/>
      <c r="E88" s="337">
        <f>AVERAGE(E85:E87)</f>
        <v>161.66666666666666</v>
      </c>
      <c r="F88" s="338">
        <f aca="true" t="shared" si="4" ref="F88:K88">IF(F85="","",AVERAGE(F85:F87))</f>
        <v>490</v>
      </c>
      <c r="G88" s="338">
        <f t="shared" si="4"/>
        <v>708</v>
      </c>
      <c r="H88" s="338">
        <f t="shared" si="4"/>
      </c>
      <c r="I88" s="338">
        <f t="shared" si="4"/>
      </c>
      <c r="J88" s="338">
        <f t="shared" si="4"/>
      </c>
      <c r="K88" s="338">
        <f t="shared" si="4"/>
      </c>
      <c r="L88" s="338">
        <f>IF(L85="","",AVERAGE(L85:L87))</f>
      </c>
      <c r="M88" s="338">
        <f>IF(M85="","",AVERAGE(M85:M87))</f>
      </c>
      <c r="N88" s="338">
        <f>IF(N85="","",AVERAGE(N85:N87))</f>
      </c>
      <c r="O88" s="338">
        <f>IF(O85="","",AVERAGE(O85:O87))</f>
      </c>
      <c r="P88" s="338">
        <f>IF(P85="","",AVERAGE(P85:P87))</f>
      </c>
      <c r="Q88" s="360"/>
    </row>
    <row r="89" spans="2:17" ht="15" thickBot="1">
      <c r="B89" s="718"/>
      <c r="C89" s="713" t="s">
        <v>167</v>
      </c>
      <c r="D89" s="71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17" t="s">
        <v>50</v>
      </c>
      <c r="C90" s="715" t="s">
        <v>54</v>
      </c>
      <c r="D90" s="716"/>
      <c r="E90" s="342">
        <v>0.751</v>
      </c>
      <c r="F90" s="343">
        <v>0.742</v>
      </c>
      <c r="G90" s="343">
        <v>0.739</v>
      </c>
      <c r="H90" s="343"/>
      <c r="I90" s="343"/>
      <c r="J90" s="343"/>
      <c r="K90" s="343"/>
      <c r="L90" s="343"/>
      <c r="M90" s="343"/>
      <c r="N90" s="343"/>
      <c r="O90" s="343"/>
      <c r="P90" s="343"/>
      <c r="Q90" s="362">
        <f>AVERAGE(E90:P90)</f>
        <v>0.7439999999999999</v>
      </c>
    </row>
    <row r="91" spans="2:17" ht="14.25">
      <c r="B91" s="717"/>
      <c r="C91" s="711" t="s">
        <v>55</v>
      </c>
      <c r="D91" s="712"/>
      <c r="E91" s="342">
        <v>0.986</v>
      </c>
      <c r="F91" s="343">
        <v>0.867</v>
      </c>
      <c r="G91" s="343">
        <v>0.844</v>
      </c>
      <c r="H91" s="343"/>
      <c r="I91" s="343"/>
      <c r="J91" s="343"/>
      <c r="K91" s="343"/>
      <c r="L91" s="343"/>
      <c r="M91" s="343"/>
      <c r="N91" s="343"/>
      <c r="O91" s="343"/>
      <c r="P91" s="343"/>
      <c r="Q91" s="362">
        <f>AVERAGE(E91:P91)</f>
        <v>0.899</v>
      </c>
    </row>
    <row r="92" spans="2:17" ht="14.25">
      <c r="B92" s="717"/>
      <c r="C92" s="711" t="s">
        <v>56</v>
      </c>
      <c r="D92" s="712"/>
      <c r="E92" s="342">
        <v>0.993</v>
      </c>
      <c r="F92" s="343">
        <v>0.98</v>
      </c>
      <c r="G92" s="343">
        <v>0.979</v>
      </c>
      <c r="H92" s="343"/>
      <c r="I92" s="343"/>
      <c r="J92" s="343"/>
      <c r="K92" s="343"/>
      <c r="L92" s="343"/>
      <c r="M92" s="343"/>
      <c r="N92" s="343"/>
      <c r="O92" s="343"/>
      <c r="P92" s="343"/>
      <c r="Q92" s="362">
        <f>AVERAGE(E92:P92)</f>
        <v>0.984</v>
      </c>
    </row>
    <row r="93" spans="2:17" ht="14.25">
      <c r="B93" s="717"/>
      <c r="C93" s="711" t="s">
        <v>57</v>
      </c>
      <c r="D93" s="712"/>
      <c r="E93" s="342">
        <v>0.989</v>
      </c>
      <c r="F93" s="343">
        <v>0.989</v>
      </c>
      <c r="G93" s="343">
        <v>0.978</v>
      </c>
      <c r="H93" s="343"/>
      <c r="I93" s="343"/>
      <c r="J93" s="343"/>
      <c r="K93" s="343"/>
      <c r="L93" s="343"/>
      <c r="M93" s="343"/>
      <c r="N93" s="343"/>
      <c r="O93" s="343"/>
      <c r="P93" s="343"/>
      <c r="Q93" s="362">
        <f>AVERAGE(E93:P93)</f>
        <v>0.9853333333333333</v>
      </c>
    </row>
    <row r="94" spans="2:17" ht="14.25">
      <c r="B94" s="717"/>
      <c r="C94" s="711" t="s">
        <v>166</v>
      </c>
      <c r="D94" s="712"/>
      <c r="E94" s="344">
        <f>AVERAGE(E90:E93)</f>
        <v>0.92975</v>
      </c>
      <c r="F94" s="345">
        <f aca="true" t="shared" si="5" ref="F94:K94">IF(F90="","",AVERAGE(F90:F93))</f>
        <v>0.8945</v>
      </c>
      <c r="G94" s="345">
        <f t="shared" si="5"/>
        <v>0.885</v>
      </c>
      <c r="H94" s="345">
        <f t="shared" si="5"/>
      </c>
      <c r="I94" s="345">
        <f t="shared" si="5"/>
      </c>
      <c r="J94" s="345">
        <f t="shared" si="5"/>
      </c>
      <c r="K94" s="345">
        <f t="shared" si="5"/>
      </c>
      <c r="L94" s="345">
        <f>IF(L90="","",AVERAGE(L90:L93))</f>
      </c>
      <c r="M94" s="345">
        <f>IF(M90="","",AVERAGE(M90:M93))</f>
      </c>
      <c r="N94" s="345">
        <f>IF(N90="","",AVERAGE(N90:N93))</f>
      </c>
      <c r="O94" s="345">
        <f>IF(O90="","",AVERAGE(O90:O93))</f>
      </c>
      <c r="P94" s="345">
        <f>IF(P90="","",AVERAGE(P90:P93))</f>
      </c>
      <c r="Q94" s="363"/>
    </row>
    <row r="95" spans="2:17" ht="15" thickBot="1">
      <c r="B95" s="718"/>
      <c r="C95" s="713" t="s">
        <v>170</v>
      </c>
      <c r="D95" s="71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A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69</v>
      </c>
      <c r="C6" s="739" t="s">
        <v>294</v>
      </c>
      <c r="D6" s="740"/>
      <c r="E6" s="740"/>
      <c r="F6" s="740"/>
      <c r="G6" s="740"/>
      <c r="H6" s="740"/>
      <c r="I6" s="740"/>
      <c r="J6" s="740"/>
      <c r="K6" s="740"/>
      <c r="L6" s="740"/>
      <c r="M6" s="740"/>
      <c r="N6" s="740"/>
      <c r="O6" s="74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2" t="s">
        <v>159</v>
      </c>
      <c r="I9" s="743"/>
      <c r="J9" s="743"/>
      <c r="K9" s="743"/>
      <c r="L9" s="743"/>
      <c r="M9" s="743"/>
      <c r="N9" s="743"/>
      <c r="O9" s="744"/>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5" t="s">
        <v>212</v>
      </c>
      <c r="I11" s="746"/>
      <c r="J11" s="746"/>
      <c r="K11" s="746"/>
      <c r="L11" s="746"/>
      <c r="M11" s="746"/>
      <c r="N11" s="746"/>
      <c r="O11" s="747"/>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8" t="s">
        <v>274</v>
      </c>
      <c r="I13" s="749"/>
      <c r="J13" s="749"/>
      <c r="K13" s="749"/>
      <c r="L13" s="749"/>
      <c r="M13" s="749"/>
      <c r="N13" s="749"/>
      <c r="O13" s="750"/>
      <c r="P13" s="373"/>
      <c r="Q13" s="369"/>
      <c r="R13" s="368"/>
    </row>
    <row r="14" spans="1:18" ht="12.75" customHeight="1">
      <c r="A14" s="368"/>
      <c r="B14" s="447"/>
      <c r="C14" s="372"/>
      <c r="D14" s="372"/>
      <c r="E14" s="372"/>
      <c r="F14" s="372"/>
      <c r="G14" s="372"/>
      <c r="H14" s="748"/>
      <c r="I14" s="749"/>
      <c r="J14" s="749"/>
      <c r="K14" s="749"/>
      <c r="L14" s="749"/>
      <c r="M14" s="749"/>
      <c r="N14" s="749"/>
      <c r="O14" s="750"/>
      <c r="P14" s="373"/>
      <c r="Q14" s="369"/>
      <c r="R14" s="368"/>
    </row>
    <row r="15" spans="1:18" ht="12.75">
      <c r="A15" s="368"/>
      <c r="B15" s="447"/>
      <c r="C15" s="372"/>
      <c r="D15" s="372"/>
      <c r="E15" s="372"/>
      <c r="F15" s="372"/>
      <c r="G15" s="372"/>
      <c r="H15" s="748"/>
      <c r="I15" s="749"/>
      <c r="J15" s="749"/>
      <c r="K15" s="749"/>
      <c r="L15" s="749"/>
      <c r="M15" s="749"/>
      <c r="N15" s="749"/>
      <c r="O15" s="750"/>
      <c r="P15" s="373"/>
      <c r="Q15" s="369"/>
      <c r="R15" s="368"/>
    </row>
    <row r="16" spans="1:18" ht="12.75">
      <c r="A16" s="368"/>
      <c r="B16" s="447"/>
      <c r="C16" s="372"/>
      <c r="D16" s="372"/>
      <c r="E16" s="372"/>
      <c r="F16" s="372"/>
      <c r="G16" s="372"/>
      <c r="H16" s="748"/>
      <c r="I16" s="749"/>
      <c r="J16" s="749"/>
      <c r="K16" s="749"/>
      <c r="L16" s="749"/>
      <c r="M16" s="749"/>
      <c r="N16" s="749"/>
      <c r="O16" s="750"/>
      <c r="P16" s="373"/>
      <c r="Q16" s="369"/>
      <c r="R16" s="368"/>
    </row>
    <row r="17" spans="1:18" ht="12.75">
      <c r="A17" s="368"/>
      <c r="B17" s="447"/>
      <c r="C17" s="372"/>
      <c r="D17" s="372"/>
      <c r="E17" s="372"/>
      <c r="F17" s="372"/>
      <c r="G17" s="372"/>
      <c r="H17" s="748"/>
      <c r="I17" s="749"/>
      <c r="J17" s="749"/>
      <c r="K17" s="749"/>
      <c r="L17" s="749"/>
      <c r="M17" s="749"/>
      <c r="N17" s="749"/>
      <c r="O17" s="750"/>
      <c r="P17" s="373"/>
      <c r="Q17" s="369"/>
      <c r="R17" s="368"/>
    </row>
    <row r="18" spans="1:18" ht="12.75">
      <c r="A18" s="368"/>
      <c r="B18" s="447"/>
      <c r="C18" s="372"/>
      <c r="D18" s="372"/>
      <c r="E18" s="372"/>
      <c r="F18" s="372"/>
      <c r="G18" s="372"/>
      <c r="H18" s="748"/>
      <c r="I18" s="749"/>
      <c r="J18" s="749"/>
      <c r="K18" s="749"/>
      <c r="L18" s="749"/>
      <c r="M18" s="749"/>
      <c r="N18" s="749"/>
      <c r="O18" s="750"/>
      <c r="P18" s="373"/>
      <c r="Q18" s="369"/>
      <c r="R18" s="368"/>
    </row>
    <row r="19" spans="1:18" ht="12.75">
      <c r="A19" s="368"/>
      <c r="B19" s="447"/>
      <c r="C19" s="372"/>
      <c r="D19" s="372"/>
      <c r="E19" s="372"/>
      <c r="F19" s="372"/>
      <c r="G19" s="372"/>
      <c r="H19" s="748"/>
      <c r="I19" s="749"/>
      <c r="J19" s="749"/>
      <c r="K19" s="749"/>
      <c r="L19" s="749"/>
      <c r="M19" s="749"/>
      <c r="N19" s="749"/>
      <c r="O19" s="750"/>
      <c r="P19" s="373"/>
      <c r="Q19" s="369"/>
      <c r="R19" s="368"/>
    </row>
    <row r="20" spans="1:17" ht="12.75">
      <c r="A20" s="368"/>
      <c r="B20" s="447"/>
      <c r="C20" s="372"/>
      <c r="D20" s="372"/>
      <c r="E20" s="372"/>
      <c r="F20" s="372"/>
      <c r="G20" s="372"/>
      <c r="H20" s="748"/>
      <c r="I20" s="749"/>
      <c r="J20" s="749"/>
      <c r="K20" s="749"/>
      <c r="L20" s="749"/>
      <c r="M20" s="749"/>
      <c r="N20" s="749"/>
      <c r="O20" s="750"/>
      <c r="P20" s="369"/>
      <c r="Q20" s="368"/>
    </row>
    <row r="21" spans="1:17" ht="12.75">
      <c r="A21" s="368"/>
      <c r="B21" s="447"/>
      <c r="C21" s="372"/>
      <c r="D21" s="372"/>
      <c r="E21" s="372"/>
      <c r="F21" s="372"/>
      <c r="G21" s="372"/>
      <c r="H21" s="748"/>
      <c r="I21" s="749"/>
      <c r="J21" s="749"/>
      <c r="K21" s="749"/>
      <c r="L21" s="749"/>
      <c r="M21" s="749"/>
      <c r="N21" s="749"/>
      <c r="O21" s="750"/>
      <c r="P21" s="369"/>
      <c r="Q21" s="368"/>
    </row>
    <row r="22" spans="1:17" ht="12.75">
      <c r="A22" s="368"/>
      <c r="B22" s="447"/>
      <c r="C22" s="372"/>
      <c r="D22" s="372"/>
      <c r="E22" s="372"/>
      <c r="F22" s="372"/>
      <c r="G22" s="372"/>
      <c r="H22" s="748"/>
      <c r="I22" s="749"/>
      <c r="J22" s="749"/>
      <c r="K22" s="749"/>
      <c r="L22" s="749"/>
      <c r="M22" s="749"/>
      <c r="N22" s="749"/>
      <c r="O22" s="750"/>
      <c r="P22" s="369"/>
      <c r="Q22" s="368"/>
    </row>
    <row r="23" spans="1:17" ht="12.75">
      <c r="A23" s="368"/>
      <c r="B23" s="447"/>
      <c r="C23" s="372"/>
      <c r="D23" s="372"/>
      <c r="E23" s="372"/>
      <c r="F23" s="372"/>
      <c r="G23" s="372"/>
      <c r="H23" s="748"/>
      <c r="I23" s="749"/>
      <c r="J23" s="749"/>
      <c r="K23" s="749"/>
      <c r="L23" s="749"/>
      <c r="M23" s="749"/>
      <c r="N23" s="749"/>
      <c r="O23" s="750"/>
      <c r="P23" s="369"/>
      <c r="Q23" s="368"/>
    </row>
    <row r="24" spans="1:17" ht="12.75">
      <c r="A24" s="368"/>
      <c r="B24" s="447"/>
      <c r="C24" s="372"/>
      <c r="D24" s="372"/>
      <c r="E24" s="372"/>
      <c r="F24" s="372"/>
      <c r="G24" s="372"/>
      <c r="H24" s="748"/>
      <c r="I24" s="749"/>
      <c r="J24" s="749"/>
      <c r="K24" s="749"/>
      <c r="L24" s="749"/>
      <c r="M24" s="749"/>
      <c r="N24" s="749"/>
      <c r="O24" s="750"/>
      <c r="P24" s="369"/>
      <c r="Q24" s="368"/>
    </row>
    <row r="25" spans="1:17" ht="12.75">
      <c r="A25" s="368"/>
      <c r="B25" s="447"/>
      <c r="C25" s="372"/>
      <c r="D25" s="372"/>
      <c r="E25" s="372"/>
      <c r="F25" s="372"/>
      <c r="G25" s="372"/>
      <c r="H25" s="748"/>
      <c r="I25" s="749"/>
      <c r="J25" s="749"/>
      <c r="K25" s="749"/>
      <c r="L25" s="749"/>
      <c r="M25" s="749"/>
      <c r="N25" s="749"/>
      <c r="O25" s="750"/>
      <c r="P25" s="369"/>
      <c r="Q25" s="368"/>
    </row>
    <row r="26" spans="1:17" ht="12.75">
      <c r="A26" s="368"/>
      <c r="B26" s="447"/>
      <c r="C26" s="372"/>
      <c r="D26" s="372"/>
      <c r="E26" s="372"/>
      <c r="F26" s="372"/>
      <c r="G26" s="372"/>
      <c r="H26" s="751"/>
      <c r="I26" s="752"/>
      <c r="J26" s="752"/>
      <c r="K26" s="752"/>
      <c r="L26" s="752"/>
      <c r="M26" s="752"/>
      <c r="N26" s="752"/>
      <c r="O26" s="753"/>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3" t="s">
        <v>235</v>
      </c>
      <c r="C31" s="735" t="s">
        <v>236</v>
      </c>
      <c r="D31" s="736"/>
      <c r="E31" s="737"/>
      <c r="F31" s="735" t="s">
        <v>237</v>
      </c>
      <c r="G31" s="736"/>
      <c r="H31" s="738"/>
      <c r="I31" s="735" t="s">
        <v>238</v>
      </c>
      <c r="J31" s="736"/>
      <c r="K31" s="738"/>
      <c r="L31" s="735" t="s">
        <v>239</v>
      </c>
      <c r="M31" s="736"/>
      <c r="N31" s="737"/>
      <c r="O31" s="451"/>
      <c r="P31" s="369"/>
      <c r="Q31" s="368"/>
    </row>
    <row r="32" spans="1:17" ht="15.75" thickBot="1">
      <c r="A32" s="368"/>
      <c r="B32" s="734"/>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45</v>
      </c>
      <c r="P32" s="369"/>
      <c r="Q32" s="368"/>
    </row>
    <row r="33" spans="1:17" ht="14.25">
      <c r="A33" s="368"/>
      <c r="B33" s="453" t="s">
        <v>240</v>
      </c>
      <c r="C33" s="454">
        <v>13.27</v>
      </c>
      <c r="D33" s="454">
        <v>11.19</v>
      </c>
      <c r="E33" s="380">
        <v>8.55</v>
      </c>
      <c r="F33" s="454"/>
      <c r="G33" s="454"/>
      <c r="H33" s="380"/>
      <c r="I33" s="454"/>
      <c r="J33" s="454"/>
      <c r="K33" s="380"/>
      <c r="L33" s="454"/>
      <c r="M33" s="454"/>
      <c r="N33" s="454"/>
      <c r="O33" s="455"/>
      <c r="P33" s="369"/>
      <c r="Q33" s="368"/>
    </row>
    <row r="34" spans="1:17" ht="14.25">
      <c r="A34" s="368"/>
      <c r="B34" s="456" t="s">
        <v>241</v>
      </c>
      <c r="C34" s="457">
        <f>C33</f>
        <v>13.27</v>
      </c>
      <c r="D34" s="457">
        <f aca="true" t="shared" si="0" ref="D34:N34">IF(D33&gt;0,C34+D33,"")</f>
        <v>24.46</v>
      </c>
      <c r="E34" s="457">
        <f t="shared" si="0"/>
        <v>33.010000000000005</v>
      </c>
      <c r="F34" s="381">
        <f t="shared" si="0"/>
      </c>
      <c r="G34" s="457">
        <f t="shared" si="0"/>
      </c>
      <c r="H34" s="457">
        <f t="shared" si="0"/>
      </c>
      <c r="I34" s="381">
        <f t="shared" si="0"/>
      </c>
      <c r="J34" s="457">
        <f t="shared" si="0"/>
      </c>
      <c r="K34" s="457">
        <f t="shared" si="0"/>
      </c>
      <c r="L34" s="381">
        <f t="shared" si="0"/>
      </c>
      <c r="M34" s="457">
        <f t="shared" si="0"/>
      </c>
      <c r="N34" s="457">
        <f t="shared" si="0"/>
      </c>
      <c r="O34" s="458"/>
      <c r="P34" s="369"/>
      <c r="Q34" s="368"/>
    </row>
    <row r="35" spans="1:17" ht="14.25">
      <c r="A35" s="368"/>
      <c r="B35" s="456" t="s">
        <v>242</v>
      </c>
      <c r="C35" s="454"/>
      <c r="D35" s="454"/>
      <c r="E35" s="382">
        <v>33.94</v>
      </c>
      <c r="F35" s="454"/>
      <c r="G35" s="454"/>
      <c r="H35" s="382">
        <v>24.53</v>
      </c>
      <c r="I35" s="383"/>
      <c r="J35" s="454"/>
      <c r="K35" s="382">
        <v>39.85</v>
      </c>
      <c r="L35" s="454"/>
      <c r="M35" s="454"/>
      <c r="N35" s="382">
        <v>42.52</v>
      </c>
      <c r="O35" s="459">
        <f>N36</f>
        <v>140.84</v>
      </c>
      <c r="P35" s="369"/>
      <c r="Q35" s="368"/>
    </row>
    <row r="36" spans="1:17" ht="14.25">
      <c r="A36" s="368"/>
      <c r="B36" s="456" t="s">
        <v>249</v>
      </c>
      <c r="C36" s="384">
        <f>E36/3</f>
        <v>11.313333333333333</v>
      </c>
      <c r="D36" s="384">
        <f>C36*2</f>
        <v>22.626666666666665</v>
      </c>
      <c r="E36" s="385">
        <f>E35</f>
        <v>33.94</v>
      </c>
      <c r="F36" s="384">
        <f>SUM(E36+$H$35/3)</f>
        <v>42.11666666666667</v>
      </c>
      <c r="G36" s="384">
        <f>SUM(F36+$H$35/3)</f>
        <v>50.29333333333334</v>
      </c>
      <c r="H36" s="385">
        <f>(E36+H35)</f>
        <v>58.47</v>
      </c>
      <c r="I36" s="384">
        <f>SUM(H36+$K$35/3)</f>
        <v>71.75333333333333</v>
      </c>
      <c r="J36" s="384">
        <f>SUM(I36+$K$35/3)</f>
        <v>85.03666666666666</v>
      </c>
      <c r="K36" s="385">
        <f>(H36+K35)</f>
        <v>98.32</v>
      </c>
      <c r="L36" s="384">
        <f>SUM(K36+$N$35/3)</f>
        <v>112.49333333333333</v>
      </c>
      <c r="M36" s="384">
        <f>SUM(L36+$N$35/3)</f>
        <v>126.66666666666666</v>
      </c>
      <c r="N36" s="385">
        <f>(K36+N35)</f>
        <v>140.84</v>
      </c>
      <c r="O36" s="458"/>
      <c r="P36" s="369"/>
      <c r="Q36" s="368"/>
    </row>
    <row r="37" spans="1:17" ht="14.25">
      <c r="A37" s="368"/>
      <c r="B37" s="456" t="s">
        <v>250</v>
      </c>
      <c r="C37" s="384">
        <f>(E37/3)</f>
        <v>12.979999999999999</v>
      </c>
      <c r="D37" s="384">
        <f>(C37*2)</f>
        <v>25.959999999999997</v>
      </c>
      <c r="E37" s="385">
        <f>(E36+5)</f>
        <v>38.94</v>
      </c>
      <c r="F37" s="384">
        <f>(E37+(H37-E37)/3)</f>
        <v>48.78333333333333</v>
      </c>
      <c r="G37" s="384">
        <f>E37+(H37-E37)*2/3</f>
        <v>58.626666666666665</v>
      </c>
      <c r="H37" s="385">
        <f>(H36+10)</f>
        <v>68.47</v>
      </c>
      <c r="I37" s="384">
        <f>(H37+(K37-H37)/3)</f>
        <v>83.42</v>
      </c>
      <c r="J37" s="384">
        <f>(H37+(K37-H37)*2/3)</f>
        <v>98.36999999999999</v>
      </c>
      <c r="K37" s="385">
        <f>(K36+15)</f>
        <v>113.32</v>
      </c>
      <c r="L37" s="384">
        <f>(K37+(N37-K37)/3)</f>
        <v>129.16</v>
      </c>
      <c r="M37" s="384">
        <f>(K37+(N37-K37)*2/3)</f>
        <v>145</v>
      </c>
      <c r="N37" s="385">
        <f>(N36+20)</f>
        <v>160.84</v>
      </c>
      <c r="O37" s="458"/>
      <c r="P37" s="369"/>
      <c r="Q37" s="368"/>
    </row>
    <row r="38" spans="1:17" ht="15" thickBot="1">
      <c r="A38" s="368"/>
      <c r="B38" s="460" t="s">
        <v>251</v>
      </c>
      <c r="C38" s="386">
        <f>E38/3</f>
        <v>9.646666666666667</v>
      </c>
      <c r="D38" s="386">
        <f>C38*2</f>
        <v>19.293333333333333</v>
      </c>
      <c r="E38" s="387">
        <f>(E36-5)</f>
        <v>28.939999999999998</v>
      </c>
      <c r="F38" s="386">
        <f>E38+(H38-E38)/3</f>
        <v>35.449999999999996</v>
      </c>
      <c r="G38" s="386">
        <f>E38+(H38-E38)*2/3</f>
        <v>41.96</v>
      </c>
      <c r="H38" s="387">
        <f>(H36-10)</f>
        <v>48.47</v>
      </c>
      <c r="I38" s="386">
        <f>H38+(K38-H38)/3</f>
        <v>60.086666666666666</v>
      </c>
      <c r="J38" s="386">
        <f>H38+(K38-H38)*2/3</f>
        <v>71.70333333333333</v>
      </c>
      <c r="K38" s="387">
        <f>(K36-15)</f>
        <v>83.32</v>
      </c>
      <c r="L38" s="386">
        <f>K38+(N38-K38)/3</f>
        <v>95.82666666666667</v>
      </c>
      <c r="M38" s="386">
        <f>K38+(N38-K38)*2/3</f>
        <v>108.33333333333333</v>
      </c>
      <c r="N38" s="387">
        <f>(N36-20)</f>
        <v>120.84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4" t="s">
        <v>4</v>
      </c>
      <c r="C70" s="755"/>
      <c r="D70" s="755"/>
      <c r="E70" s="755"/>
      <c r="F70" s="755"/>
      <c r="G70" s="755"/>
      <c r="H70" s="755"/>
      <c r="I70" s="755"/>
      <c r="J70" s="755"/>
      <c r="K70" s="755"/>
      <c r="L70" s="755"/>
      <c r="M70" s="755"/>
      <c r="N70" s="755"/>
      <c r="O70" s="756"/>
      <c r="P70" s="369"/>
      <c r="Q70" s="368"/>
    </row>
    <row r="71" spans="1:17" ht="12.75" customHeight="1">
      <c r="A71" s="368"/>
      <c r="B71" s="754"/>
      <c r="C71" s="755"/>
      <c r="D71" s="755"/>
      <c r="E71" s="755"/>
      <c r="F71" s="755"/>
      <c r="G71" s="755"/>
      <c r="H71" s="755"/>
      <c r="I71" s="755"/>
      <c r="J71" s="755"/>
      <c r="K71" s="755"/>
      <c r="L71" s="755"/>
      <c r="M71" s="755"/>
      <c r="N71" s="755"/>
      <c r="O71" s="756"/>
      <c r="P71" s="369"/>
      <c r="Q71" s="368"/>
    </row>
    <row r="72" spans="1:17" ht="12.75" customHeight="1">
      <c r="A72" s="368"/>
      <c r="B72" s="754"/>
      <c r="C72" s="755"/>
      <c r="D72" s="755"/>
      <c r="E72" s="755"/>
      <c r="F72" s="755"/>
      <c r="G72" s="755"/>
      <c r="H72" s="755"/>
      <c r="I72" s="755"/>
      <c r="J72" s="755"/>
      <c r="K72" s="755"/>
      <c r="L72" s="755"/>
      <c r="M72" s="755"/>
      <c r="N72" s="755"/>
      <c r="O72" s="756"/>
      <c r="P72" s="369"/>
      <c r="Q72" s="368"/>
    </row>
    <row r="73" spans="1:17" ht="12.75" customHeight="1">
      <c r="A73" s="368"/>
      <c r="B73" s="754"/>
      <c r="C73" s="755"/>
      <c r="D73" s="755"/>
      <c r="E73" s="755"/>
      <c r="F73" s="755"/>
      <c r="G73" s="755"/>
      <c r="H73" s="755"/>
      <c r="I73" s="755"/>
      <c r="J73" s="755"/>
      <c r="K73" s="755"/>
      <c r="L73" s="755"/>
      <c r="M73" s="755"/>
      <c r="N73" s="755"/>
      <c r="O73" s="756"/>
      <c r="P73" s="369"/>
      <c r="Q73" s="368"/>
    </row>
    <row r="74" spans="1:17" ht="12.75" customHeight="1">
      <c r="A74" s="368"/>
      <c r="B74" s="754"/>
      <c r="C74" s="755"/>
      <c r="D74" s="755"/>
      <c r="E74" s="755"/>
      <c r="F74" s="755"/>
      <c r="G74" s="755"/>
      <c r="H74" s="755"/>
      <c r="I74" s="755"/>
      <c r="J74" s="755"/>
      <c r="K74" s="755"/>
      <c r="L74" s="755"/>
      <c r="M74" s="755"/>
      <c r="N74" s="755"/>
      <c r="O74" s="756"/>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29" t="s">
        <v>236</v>
      </c>
      <c r="D78" s="730"/>
      <c r="E78" s="731"/>
      <c r="F78" s="729" t="s">
        <v>237</v>
      </c>
      <c r="G78" s="730"/>
      <c r="H78" s="732"/>
      <c r="I78" s="729" t="s">
        <v>238</v>
      </c>
      <c r="J78" s="730"/>
      <c r="K78" s="732"/>
      <c r="L78" s="729" t="s">
        <v>239</v>
      </c>
      <c r="M78" s="730"/>
      <c r="N78" s="731"/>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45</v>
      </c>
      <c r="P79" s="369"/>
      <c r="Q79" s="368"/>
    </row>
    <row r="80" spans="1:17" ht="14.25">
      <c r="A80" s="368"/>
      <c r="B80" s="473" t="s">
        <v>253</v>
      </c>
      <c r="C80" s="395">
        <v>750.51756</v>
      </c>
      <c r="D80" s="396">
        <v>631.807096</v>
      </c>
      <c r="E80" s="397">
        <v>461.048278</v>
      </c>
      <c r="F80" s="398"/>
      <c r="G80" s="399"/>
      <c r="H80" s="400"/>
      <c r="I80" s="398"/>
      <c r="J80" s="399"/>
      <c r="K80" s="400"/>
      <c r="L80" s="401"/>
      <c r="M80" s="402"/>
      <c r="N80" s="403"/>
      <c r="O80" s="474">
        <f>SUM(C80:N80)</f>
        <v>1843.372934</v>
      </c>
      <c r="P80" s="369"/>
      <c r="Q80" s="368"/>
    </row>
    <row r="81" spans="1:17" ht="14.25">
      <c r="A81" s="368"/>
      <c r="B81" s="473" t="s">
        <v>245</v>
      </c>
      <c r="C81" s="404">
        <f>C80</f>
        <v>750.51756</v>
      </c>
      <c r="D81" s="405">
        <f>+D80+C81</f>
        <v>1382.324656</v>
      </c>
      <c r="E81" s="406">
        <f>+E80+D81</f>
        <v>1843.372934</v>
      </c>
      <c r="F81" s="130">
        <f aca="true" t="shared" si="1" ref="F81:K81">IF(F80&gt;0,F80+E81,"")</f>
      </c>
      <c r="G81" s="131">
        <f t="shared" si="1"/>
      </c>
      <c r="H81" s="131">
        <f t="shared" si="1"/>
      </c>
      <c r="I81" s="130">
        <f t="shared" si="1"/>
      </c>
      <c r="J81" s="131">
        <f t="shared" si="1"/>
      </c>
      <c r="K81" s="131">
        <f t="shared" si="1"/>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1252.733994</v>
      </c>
      <c r="I82" s="407"/>
      <c r="J82" s="410"/>
      <c r="K82" s="411">
        <v>1460.49154372404</v>
      </c>
      <c r="L82" s="407"/>
      <c r="M82" s="412"/>
      <c r="N82" s="411">
        <v>1403.86412796299</v>
      </c>
      <c r="O82" s="476">
        <f>E82+H82+K82+N82</f>
        <v>5735.4077405586395</v>
      </c>
      <c r="P82" s="369"/>
      <c r="Q82" s="368"/>
    </row>
    <row r="83" spans="1:17" ht="14.25">
      <c r="A83" s="368"/>
      <c r="B83" s="473" t="s">
        <v>254</v>
      </c>
      <c r="C83" s="413"/>
      <c r="D83" s="414"/>
      <c r="E83" s="415">
        <f>E82</f>
        <v>1618.31807487161</v>
      </c>
      <c r="F83" s="416"/>
      <c r="G83" s="417"/>
      <c r="H83" s="418">
        <f>H82+E83</f>
        <v>2871.0520688716097</v>
      </c>
      <c r="I83" s="416"/>
      <c r="J83" s="417"/>
      <c r="K83" s="418">
        <f>K82+H83</f>
        <v>4331.543612595649</v>
      </c>
      <c r="L83" s="416"/>
      <c r="M83" s="417"/>
      <c r="N83" s="418">
        <f>N82+K83</f>
        <v>5735.4077405586395</v>
      </c>
      <c r="O83" s="477"/>
      <c r="P83" s="369"/>
      <c r="Q83" s="368"/>
    </row>
    <row r="84" spans="1:17" ht="15" thickBot="1">
      <c r="A84" s="368"/>
      <c r="B84" s="473" t="s">
        <v>246</v>
      </c>
      <c r="C84" s="789">
        <v>57.4444852665873</v>
      </c>
      <c r="D84" s="790">
        <v>59.4539871188812</v>
      </c>
      <c r="E84" s="791">
        <v>61.2384075724022</v>
      </c>
      <c r="F84" s="792">
        <v>60.55185558412902</v>
      </c>
      <c r="G84" s="793">
        <v>60.19</v>
      </c>
      <c r="H84" s="794">
        <v>61.55</v>
      </c>
      <c r="I84" s="792">
        <v>58.35</v>
      </c>
      <c r="J84" s="793">
        <v>58.35</v>
      </c>
      <c r="K84" s="794">
        <v>58.35</v>
      </c>
      <c r="L84" s="792">
        <v>58.35</v>
      </c>
      <c r="M84" s="793">
        <v>58.35</v>
      </c>
      <c r="N84" s="794">
        <v>58.35</v>
      </c>
      <c r="O84" s="477"/>
      <c r="P84" s="369"/>
      <c r="Q84" s="368"/>
    </row>
    <row r="85" spans="1:17" ht="12.75">
      <c r="A85" s="368"/>
      <c r="B85" s="795"/>
      <c r="C85" s="796"/>
      <c r="D85" s="796"/>
      <c r="E85" s="797">
        <f>SUMPRODUCT(C80:E80,C84:E84)/E81</f>
        <v>59.08213482733873</v>
      </c>
      <c r="F85" s="796"/>
      <c r="G85" s="796"/>
      <c r="H85" s="796"/>
      <c r="I85" s="796"/>
      <c r="J85" s="796"/>
      <c r="K85" s="796"/>
      <c r="L85" s="798"/>
      <c r="M85" s="798"/>
      <c r="N85" s="798"/>
      <c r="O85" s="799"/>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29" t="s">
        <v>236</v>
      </c>
      <c r="D109" s="730"/>
      <c r="E109" s="731"/>
      <c r="F109" s="729" t="s">
        <v>237</v>
      </c>
      <c r="G109" s="730"/>
      <c r="H109" s="732"/>
      <c r="I109" s="729" t="s">
        <v>238</v>
      </c>
      <c r="J109" s="730"/>
      <c r="K109" s="732"/>
      <c r="L109" s="729" t="s">
        <v>239</v>
      </c>
      <c r="M109" s="730"/>
      <c r="N109" s="731"/>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45</v>
      </c>
      <c r="P110" s="369"/>
      <c r="Q110" s="368"/>
    </row>
    <row r="111" spans="1:17" ht="14.25">
      <c r="A111" s="368"/>
      <c r="B111" s="473" t="s">
        <v>2</v>
      </c>
      <c r="C111" s="420">
        <v>1.5262585</v>
      </c>
      <c r="D111" s="421">
        <v>1.5173532000000007</v>
      </c>
      <c r="E111" s="422">
        <v>1.7104983</v>
      </c>
      <c r="F111" s="401"/>
      <c r="G111" s="402"/>
      <c r="H111" s="403"/>
      <c r="I111" s="401"/>
      <c r="J111" s="402"/>
      <c r="K111" s="403"/>
      <c r="L111" s="401"/>
      <c r="M111" s="402"/>
      <c r="N111" s="403"/>
      <c r="O111" s="480">
        <f>SUM(C111:N111)</f>
        <v>4.754110000000001</v>
      </c>
      <c r="P111" s="369"/>
      <c r="Q111" s="368"/>
    </row>
    <row r="112" spans="1:17" ht="14.25">
      <c r="A112" s="368"/>
      <c r="B112" s="473" t="s">
        <v>3</v>
      </c>
      <c r="C112" s="423">
        <f>C111</f>
        <v>1.5262585</v>
      </c>
      <c r="D112" s="424">
        <f>+D111+C112</f>
        <v>3.0436117000000005</v>
      </c>
      <c r="E112" s="425">
        <f>+E111+D112</f>
        <v>4.754110000000001</v>
      </c>
      <c r="F112" s="130">
        <f>IF(F111&gt;0,F111+E112,"")</f>
      </c>
      <c r="G112" s="426">
        <f>IF(G111&gt;0,G111+F112,"")</f>
      </c>
      <c r="H112" s="426">
        <f>IF(H111&gt;0,H111+G112,"")</f>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0</v>
      </c>
      <c r="I113" s="407"/>
      <c r="J113" s="412"/>
      <c r="K113" s="431">
        <v>98.616796202322</v>
      </c>
      <c r="L113" s="407"/>
      <c r="M113" s="412"/>
      <c r="N113" s="431">
        <v>114.055036937108</v>
      </c>
      <c r="O113" s="482">
        <f>E113+H113+K113+N113</f>
        <v>241.185603182226</v>
      </c>
      <c r="P113" s="369"/>
      <c r="Q113" s="368"/>
    </row>
    <row r="114" spans="1:17" ht="14.25">
      <c r="A114" s="368"/>
      <c r="B114" s="473" t="s">
        <v>254</v>
      </c>
      <c r="C114" s="416"/>
      <c r="D114" s="432"/>
      <c r="E114" s="433">
        <f>E113</f>
        <v>28.513770042796</v>
      </c>
      <c r="F114" s="416"/>
      <c r="G114" s="417"/>
      <c r="H114" s="434">
        <f>H113+E114</f>
        <v>28.513770042796</v>
      </c>
      <c r="I114" s="416"/>
      <c r="J114" s="417"/>
      <c r="K114" s="434">
        <f>K113+H114</f>
        <v>127.130566245118</v>
      </c>
      <c r="L114" s="416"/>
      <c r="M114" s="417"/>
      <c r="N114" s="434">
        <f>N113+K114</f>
        <v>241.185603182226</v>
      </c>
      <c r="O114" s="477"/>
      <c r="P114" s="369"/>
      <c r="Q114" s="368"/>
    </row>
    <row r="115" spans="1:17" ht="15" thickBot="1">
      <c r="A115" s="368"/>
      <c r="B115" s="473" t="s">
        <v>248</v>
      </c>
      <c r="C115" s="789">
        <v>56.540186344580555</v>
      </c>
      <c r="D115" s="790">
        <v>55.65319521555863</v>
      </c>
      <c r="E115" s="791">
        <v>62.1355133764237</v>
      </c>
      <c r="F115" s="800"/>
      <c r="G115" s="801"/>
      <c r="H115" s="802"/>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A1" sqref="A1"/>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74</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69</v>
      </c>
      <c r="C6" s="709" t="s">
        <v>261</v>
      </c>
      <c r="D6" s="709"/>
      <c r="E6" s="709"/>
      <c r="F6" s="709"/>
      <c r="G6" s="709"/>
      <c r="H6" s="710"/>
      <c r="I6" s="317"/>
      <c r="J6" s="486"/>
      <c r="K6" s="487"/>
    </row>
    <row r="7" spans="2:8" ht="11.25">
      <c r="B7" s="245"/>
      <c r="C7" s="212"/>
      <c r="D7" s="212"/>
      <c r="E7" s="212"/>
      <c r="F7" s="212"/>
      <c r="G7" s="212"/>
      <c r="H7" s="246"/>
    </row>
    <row r="8" spans="2:8" ht="15">
      <c r="B8" s="245"/>
      <c r="C8" s="212"/>
      <c r="D8" s="212"/>
      <c r="E8" s="212"/>
      <c r="F8" s="212"/>
      <c r="G8" s="695" t="s">
        <v>159</v>
      </c>
      <c r="H8" s="697"/>
    </row>
    <row r="9" spans="2:8" ht="14.25">
      <c r="B9" s="245"/>
      <c r="C9" s="212"/>
      <c r="D9" s="212"/>
      <c r="E9" s="212"/>
      <c r="F9" s="212"/>
      <c r="G9" s="489"/>
      <c r="H9" s="504"/>
    </row>
    <row r="10" spans="2:8" ht="11.25" customHeight="1">
      <c r="B10" s="245"/>
      <c r="C10" s="212"/>
      <c r="D10" s="212"/>
      <c r="E10" s="212"/>
      <c r="F10" s="212"/>
      <c r="G10" s="645" t="s">
        <v>212</v>
      </c>
      <c r="H10" s="638"/>
    </row>
    <row r="11" spans="2:8" ht="14.25">
      <c r="B11" s="245"/>
      <c r="C11" s="212"/>
      <c r="D11" s="212"/>
      <c r="E11" s="212"/>
      <c r="F11" s="212"/>
      <c r="G11" s="490"/>
      <c r="H11" s="505"/>
    </row>
    <row r="12" spans="2:8" ht="11.25" customHeight="1">
      <c r="B12" s="245"/>
      <c r="C12" s="212"/>
      <c r="D12" s="212"/>
      <c r="E12" s="212"/>
      <c r="F12" s="212"/>
      <c r="G12" s="757" t="s">
        <v>287</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268</v>
      </c>
      <c r="C52" s="687"/>
      <c r="D52" s="687"/>
      <c r="E52" s="687"/>
      <c r="F52" s="687"/>
      <c r="G52" s="687"/>
      <c r="H52" s="688"/>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40</v>
      </c>
      <c r="C56" s="491" t="s">
        <v>272</v>
      </c>
      <c r="D56" s="491" t="s">
        <v>273</v>
      </c>
      <c r="E56" s="492" t="s">
        <v>0</v>
      </c>
      <c r="F56" s="212"/>
      <c r="G56" s="212"/>
      <c r="H56" s="246"/>
      <c r="I56" s="493"/>
      <c r="J56" s="265"/>
      <c r="K56" s="265"/>
      <c r="L56" s="494"/>
    </row>
    <row r="57" spans="2:12" ht="15.75">
      <c r="B57" s="509">
        <v>40634</v>
      </c>
      <c r="C57" s="495">
        <v>1.49</v>
      </c>
      <c r="D57" s="495">
        <v>0</v>
      </c>
      <c r="E57" s="330">
        <v>854.299377</v>
      </c>
      <c r="F57" s="212"/>
      <c r="G57" s="212"/>
      <c r="H57" s="246"/>
      <c r="I57" s="142"/>
      <c r="J57" s="265"/>
      <c r="K57" s="496"/>
      <c r="L57" s="264"/>
    </row>
    <row r="58" spans="2:12" ht="15.75">
      <c r="B58" s="305">
        <v>40664</v>
      </c>
      <c r="C58" s="495">
        <v>1.24</v>
      </c>
      <c r="D58" s="495">
        <v>0</v>
      </c>
      <c r="E58" s="330">
        <v>755.599378</v>
      </c>
      <c r="F58" s="212"/>
      <c r="G58" s="212"/>
      <c r="H58" s="246"/>
      <c r="I58" s="493"/>
      <c r="J58" s="265"/>
      <c r="K58" s="265"/>
      <c r="L58" s="264"/>
    </row>
    <row r="59" spans="2:12" ht="15.75">
      <c r="B59" s="305">
        <v>40695</v>
      </c>
      <c r="C59" s="495">
        <v>1.26</v>
      </c>
      <c r="D59" s="495">
        <v>0</v>
      </c>
      <c r="E59" s="330">
        <v>755.599378</v>
      </c>
      <c r="F59" s="212"/>
      <c r="G59" s="212"/>
      <c r="H59" s="246"/>
      <c r="J59" s="265"/>
      <c r="K59" s="142"/>
      <c r="L59" s="264"/>
    </row>
    <row r="60" spans="2:12" ht="15.75">
      <c r="B60" s="305">
        <v>40725</v>
      </c>
      <c r="C60" s="495"/>
      <c r="D60" s="495"/>
      <c r="E60" s="330"/>
      <c r="F60" s="212"/>
      <c r="G60" s="212"/>
      <c r="H60" s="246"/>
      <c r="J60" s="265"/>
      <c r="K60" s="497"/>
      <c r="L60" s="265"/>
    </row>
    <row r="61" spans="2:12" ht="15.75">
      <c r="B61" s="305">
        <v>40756</v>
      </c>
      <c r="C61" s="495"/>
      <c r="D61" s="495"/>
      <c r="E61" s="330"/>
      <c r="F61" s="212"/>
      <c r="G61" s="212"/>
      <c r="H61" s="246"/>
      <c r="J61" s="265"/>
      <c r="K61" s="142"/>
      <c r="L61" s="265"/>
    </row>
    <row r="62" spans="2:12" ht="15.75">
      <c r="B62" s="305">
        <v>40787</v>
      </c>
      <c r="C62" s="495"/>
      <c r="D62" s="495"/>
      <c r="E62" s="330"/>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9">
      <selection activeCell="B1" sqref="B1"/>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4.28125" style="200"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72</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69</v>
      </c>
      <c r="C6" s="769" t="s">
        <v>224</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159</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45" t="s">
        <v>213</v>
      </c>
      <c r="K10" s="637"/>
      <c r="L10" s="637"/>
      <c r="M10" s="637"/>
      <c r="N10" s="637"/>
      <c r="O10" s="637"/>
      <c r="P10" s="638"/>
    </row>
    <row r="11" spans="2:16" ht="11.25" customHeight="1">
      <c r="B11" s="232"/>
      <c r="C11" s="279"/>
      <c r="D11" s="279"/>
      <c r="E11" s="279"/>
      <c r="F11" s="279"/>
      <c r="G11" s="279"/>
      <c r="H11" s="279"/>
      <c r="I11" s="279"/>
      <c r="J11" s="645"/>
      <c r="K11" s="637"/>
      <c r="L11" s="637"/>
      <c r="M11" s="637"/>
      <c r="N11" s="637"/>
      <c r="O11" s="637"/>
      <c r="P11" s="638"/>
    </row>
    <row r="12" spans="2:16" ht="14.25" customHeight="1">
      <c r="B12" s="232"/>
      <c r="C12" s="279"/>
      <c r="D12" s="279"/>
      <c r="E12" s="279"/>
      <c r="F12" s="279"/>
      <c r="G12" s="279"/>
      <c r="H12" s="279"/>
      <c r="I12" s="279"/>
      <c r="J12" s="645"/>
      <c r="K12" s="637"/>
      <c r="L12" s="637"/>
      <c r="M12" s="637"/>
      <c r="N12" s="637"/>
      <c r="O12" s="637"/>
      <c r="P12" s="638"/>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39" t="s">
        <v>9</v>
      </c>
      <c r="K14" s="640"/>
      <c r="L14" s="640"/>
      <c r="M14" s="640"/>
      <c r="N14" s="640"/>
      <c r="O14" s="640"/>
      <c r="P14" s="641"/>
    </row>
    <row r="15" spans="2:16" ht="11.25" customHeight="1">
      <c r="B15" s="232"/>
      <c r="C15" s="279"/>
      <c r="D15" s="279"/>
      <c r="E15" s="279"/>
      <c r="F15" s="279"/>
      <c r="G15" s="279"/>
      <c r="H15" s="279"/>
      <c r="I15" s="279"/>
      <c r="J15" s="639"/>
      <c r="K15" s="640"/>
      <c r="L15" s="640"/>
      <c r="M15" s="640"/>
      <c r="N15" s="640"/>
      <c r="O15" s="640"/>
      <c r="P15" s="641"/>
    </row>
    <row r="16" spans="2:16" ht="11.25" customHeight="1">
      <c r="B16" s="232"/>
      <c r="C16" s="279"/>
      <c r="D16" s="279"/>
      <c r="E16" s="279"/>
      <c r="F16" s="279"/>
      <c r="G16" s="279"/>
      <c r="H16" s="279"/>
      <c r="I16" s="279"/>
      <c r="J16" s="639"/>
      <c r="K16" s="640"/>
      <c r="L16" s="640"/>
      <c r="M16" s="640"/>
      <c r="N16" s="640"/>
      <c r="O16" s="640"/>
      <c r="P16" s="641"/>
    </row>
    <row r="17" spans="2:16" ht="11.25" customHeight="1">
      <c r="B17" s="232"/>
      <c r="C17" s="279"/>
      <c r="D17" s="279"/>
      <c r="E17" s="279"/>
      <c r="F17" s="279"/>
      <c r="G17" s="279"/>
      <c r="H17" s="279"/>
      <c r="I17" s="279"/>
      <c r="J17" s="639"/>
      <c r="K17" s="640"/>
      <c r="L17" s="640"/>
      <c r="M17" s="640"/>
      <c r="N17" s="640"/>
      <c r="O17" s="640"/>
      <c r="P17" s="641"/>
    </row>
    <row r="18" spans="2:16" ht="14.25" customHeight="1">
      <c r="B18" s="232"/>
      <c r="C18" s="279"/>
      <c r="D18" s="279"/>
      <c r="E18" s="279"/>
      <c r="F18" s="279"/>
      <c r="G18" s="279"/>
      <c r="H18" s="279"/>
      <c r="I18" s="279"/>
      <c r="J18" s="639"/>
      <c r="K18" s="640"/>
      <c r="L18" s="640"/>
      <c r="M18" s="640"/>
      <c r="N18" s="640"/>
      <c r="O18" s="640"/>
      <c r="P18" s="641"/>
    </row>
    <row r="19" spans="2:16" ht="24.75" customHeight="1">
      <c r="B19" s="232"/>
      <c r="C19" s="279"/>
      <c r="D19" s="279"/>
      <c r="E19" s="279"/>
      <c r="F19" s="279"/>
      <c r="G19" s="279"/>
      <c r="H19" s="279"/>
      <c r="I19" s="279"/>
      <c r="J19" s="639"/>
      <c r="K19" s="640"/>
      <c r="L19" s="640"/>
      <c r="M19" s="640"/>
      <c r="N19" s="640"/>
      <c r="O19" s="640"/>
      <c r="P19" s="641"/>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159</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45" t="s">
        <v>214</v>
      </c>
      <c r="K27" s="637"/>
      <c r="L27" s="637"/>
      <c r="M27" s="637"/>
      <c r="N27" s="637"/>
      <c r="O27" s="637"/>
      <c r="P27" s="638"/>
    </row>
    <row r="28" spans="2:16" ht="11.25" customHeight="1">
      <c r="B28" s="232"/>
      <c r="C28" s="279"/>
      <c r="D28" s="279"/>
      <c r="E28" s="279"/>
      <c r="F28" s="279"/>
      <c r="G28" s="279"/>
      <c r="H28" s="279"/>
      <c r="I28" s="279"/>
      <c r="J28" s="645"/>
      <c r="K28" s="637"/>
      <c r="L28" s="637"/>
      <c r="M28" s="637"/>
      <c r="N28" s="637"/>
      <c r="O28" s="637"/>
      <c r="P28" s="638"/>
    </row>
    <row r="29" spans="2:16" ht="12.75" customHeight="1">
      <c r="B29" s="232"/>
      <c r="C29" s="279"/>
      <c r="D29" s="279"/>
      <c r="E29" s="279"/>
      <c r="F29" s="279"/>
      <c r="G29" s="279"/>
      <c r="H29" s="279"/>
      <c r="I29" s="279"/>
      <c r="J29" s="645"/>
      <c r="K29" s="637"/>
      <c r="L29" s="637"/>
      <c r="M29" s="637"/>
      <c r="N29" s="637"/>
      <c r="O29" s="637"/>
      <c r="P29" s="638"/>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39" t="s">
        <v>156</v>
      </c>
      <c r="K31" s="640"/>
      <c r="L31" s="640"/>
      <c r="M31" s="640"/>
      <c r="N31" s="640"/>
      <c r="O31" s="640"/>
      <c r="P31" s="641"/>
    </row>
    <row r="32" spans="2:16" ht="11.25" customHeight="1">
      <c r="B32" s="232"/>
      <c r="C32" s="279"/>
      <c r="D32" s="279"/>
      <c r="E32" s="279"/>
      <c r="F32" s="279"/>
      <c r="G32" s="279"/>
      <c r="H32" s="279"/>
      <c r="I32" s="279"/>
      <c r="J32" s="639"/>
      <c r="K32" s="640"/>
      <c r="L32" s="640"/>
      <c r="M32" s="640"/>
      <c r="N32" s="640"/>
      <c r="O32" s="640"/>
      <c r="P32" s="641"/>
    </row>
    <row r="33" spans="2:16" ht="11.25" customHeight="1">
      <c r="B33" s="232"/>
      <c r="C33" s="279"/>
      <c r="D33" s="279"/>
      <c r="E33" s="279"/>
      <c r="F33" s="279"/>
      <c r="G33" s="279"/>
      <c r="H33" s="279"/>
      <c r="I33" s="279"/>
      <c r="J33" s="639"/>
      <c r="K33" s="640"/>
      <c r="L33" s="640"/>
      <c r="M33" s="640"/>
      <c r="N33" s="640"/>
      <c r="O33" s="640"/>
      <c r="P33" s="641"/>
    </row>
    <row r="34" spans="2:16" ht="11.25" customHeight="1">
      <c r="B34" s="232"/>
      <c r="C34" s="279"/>
      <c r="D34" s="279"/>
      <c r="E34" s="279"/>
      <c r="F34" s="279"/>
      <c r="G34" s="279"/>
      <c r="H34" s="279"/>
      <c r="I34" s="279"/>
      <c r="J34" s="639"/>
      <c r="K34" s="640"/>
      <c r="L34" s="640"/>
      <c r="M34" s="640"/>
      <c r="N34" s="640"/>
      <c r="O34" s="640"/>
      <c r="P34" s="641"/>
    </row>
    <row r="35" spans="2:16" ht="11.25" customHeight="1">
      <c r="B35" s="232"/>
      <c r="C35" s="279"/>
      <c r="D35" s="279"/>
      <c r="E35" s="279"/>
      <c r="F35" s="279"/>
      <c r="G35" s="279"/>
      <c r="H35" s="279"/>
      <c r="I35" s="279"/>
      <c r="J35" s="639"/>
      <c r="K35" s="640"/>
      <c r="L35" s="640"/>
      <c r="M35" s="640"/>
      <c r="N35" s="640"/>
      <c r="O35" s="640"/>
      <c r="P35" s="641"/>
    </row>
    <row r="36" spans="2:16" ht="11.25" customHeight="1">
      <c r="B36" s="232"/>
      <c r="C36" s="279"/>
      <c r="D36" s="279"/>
      <c r="E36" s="279"/>
      <c r="F36" s="279"/>
      <c r="G36" s="279"/>
      <c r="H36" s="279"/>
      <c r="I36" s="279"/>
      <c r="J36" s="639"/>
      <c r="K36" s="640"/>
      <c r="L36" s="640"/>
      <c r="M36" s="640"/>
      <c r="N36" s="640"/>
      <c r="O36" s="640"/>
      <c r="P36" s="641"/>
    </row>
    <row r="37" spans="2:16" ht="11.25" customHeight="1">
      <c r="B37" s="232"/>
      <c r="C37" s="279"/>
      <c r="D37" s="279"/>
      <c r="E37" s="279"/>
      <c r="F37" s="279"/>
      <c r="G37" s="279"/>
      <c r="H37" s="279"/>
      <c r="I37" s="279"/>
      <c r="J37" s="639"/>
      <c r="K37" s="640"/>
      <c r="L37" s="640"/>
      <c r="M37" s="640"/>
      <c r="N37" s="640"/>
      <c r="O37" s="640"/>
      <c r="P37" s="641"/>
    </row>
    <row r="38" spans="2:16" ht="12.75" customHeight="1">
      <c r="B38" s="232"/>
      <c r="C38" s="279"/>
      <c r="D38" s="279"/>
      <c r="E38" s="279"/>
      <c r="F38" s="279"/>
      <c r="G38" s="279"/>
      <c r="H38" s="279"/>
      <c r="I38" s="279"/>
      <c r="J38" s="639"/>
      <c r="K38" s="640"/>
      <c r="L38" s="640"/>
      <c r="M38" s="640"/>
      <c r="N38" s="640"/>
      <c r="O38" s="640"/>
      <c r="P38" s="641"/>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11</v>
      </c>
      <c r="C71" s="764"/>
      <c r="D71" s="764"/>
      <c r="E71" s="764"/>
      <c r="F71" s="764"/>
      <c r="G71" s="764"/>
      <c r="H71" s="764"/>
      <c r="I71" s="279"/>
      <c r="J71" s="774" t="s">
        <v>16</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58</v>
      </c>
      <c r="D82" s="766"/>
      <c r="E82" s="766"/>
      <c r="F82" s="766"/>
      <c r="G82" s="766"/>
      <c r="H82" s="766"/>
      <c r="I82" s="772"/>
      <c r="J82" s="765" t="s">
        <v>59</v>
      </c>
      <c r="K82" s="766"/>
      <c r="L82" s="766"/>
      <c r="M82" s="766"/>
      <c r="N82" s="766"/>
      <c r="O82" s="766"/>
      <c r="P82" s="773"/>
      <c r="Q82" s="314"/>
    </row>
    <row r="83" spans="2:17" ht="71.25">
      <c r="B83" s="558" t="s">
        <v>40</v>
      </c>
      <c r="C83" s="524" t="s">
        <v>61</v>
      </c>
      <c r="D83" s="525" t="s">
        <v>31</v>
      </c>
      <c r="E83" s="525" t="s">
        <v>32</v>
      </c>
      <c r="F83" s="525" t="s">
        <v>33</v>
      </c>
      <c r="G83" s="525" t="s">
        <v>190</v>
      </c>
      <c r="H83" s="525" t="s">
        <v>34</v>
      </c>
      <c r="I83" s="526" t="s">
        <v>35</v>
      </c>
      <c r="J83" s="524" t="s">
        <v>71</v>
      </c>
      <c r="K83" s="525" t="s">
        <v>36</v>
      </c>
      <c r="L83" s="525" t="s">
        <v>37</v>
      </c>
      <c r="M83" s="525" t="s">
        <v>165</v>
      </c>
      <c r="N83" s="525" t="s">
        <v>223</v>
      </c>
      <c r="O83" s="525" t="s">
        <v>38</v>
      </c>
      <c r="P83" s="559" t="s">
        <v>39</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c r="D87" s="529">
        <f t="shared" si="0"/>
      </c>
      <c r="E87" s="282">
        <f>IF(C87="","",C87/1000)</f>
      </c>
      <c r="F87" s="530">
        <f>IF(D87="","",D87/10^6)</f>
      </c>
      <c r="G87" s="280"/>
      <c r="H87" s="280"/>
      <c r="I87" s="531"/>
      <c r="J87" s="528"/>
      <c r="K87" s="529">
        <f>IF(J87="","",J87+K86)</f>
      </c>
      <c r="L87" s="530">
        <f>IF(J87="","",J87/1000)</f>
      </c>
      <c r="M87" s="338">
        <f>IF(K87="","",K87/1000000)</f>
      </c>
      <c r="N87" s="280"/>
      <c r="O87" s="280"/>
      <c r="P87" s="560"/>
      <c r="Q87" s="532"/>
    </row>
    <row r="88" spans="2:17" ht="14.25">
      <c r="B88" s="305">
        <v>40756</v>
      </c>
      <c r="C88" s="528"/>
      <c r="D88" s="529">
        <f t="shared" si="0"/>
      </c>
      <c r="E88" s="282">
        <f>IF(C88="","",C88/1000)</f>
      </c>
      <c r="F88" s="530">
        <f aca="true" t="shared" si="1" ref="F88:F95">IF(D88="","",D88/10^6)</f>
      </c>
      <c r="G88" s="280"/>
      <c r="H88" s="280"/>
      <c r="I88" s="336"/>
      <c r="J88" s="528"/>
      <c r="K88" s="529">
        <f>IF(J88="","",J88+K87)</f>
      </c>
      <c r="L88" s="530">
        <f>IF(J88="","",J88/1000)</f>
      </c>
      <c r="M88" s="338">
        <f aca="true" t="shared" si="2" ref="M88:M95">IF(K88="","",K88/1000000)</f>
      </c>
      <c r="N88" s="280"/>
      <c r="O88" s="280"/>
      <c r="P88" s="561"/>
      <c r="Q88" s="532"/>
    </row>
    <row r="89" spans="2:17" ht="14.25">
      <c r="B89" s="305">
        <v>40787</v>
      </c>
      <c r="C89" s="528"/>
      <c r="D89" s="529">
        <f t="shared" si="0"/>
      </c>
      <c r="E89" s="282">
        <f>IF(C89="","",C89/1000)</f>
      </c>
      <c r="F89" s="530">
        <f t="shared" si="1"/>
      </c>
      <c r="G89" s="280"/>
      <c r="H89" s="280"/>
      <c r="I89" s="336"/>
      <c r="J89" s="528"/>
      <c r="K89" s="529">
        <f>IF(J89="","",J89+K88)</f>
      </c>
      <c r="L89" s="530">
        <f>IF(J89="","",J89/1000)</f>
      </c>
      <c r="M89" s="338">
        <f t="shared" si="2"/>
      </c>
      <c r="N89" s="280"/>
      <c r="O89" s="280"/>
      <c r="P89" s="561"/>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60</v>
      </c>
      <c r="D98" s="766"/>
      <c r="E98" s="766"/>
      <c r="F98" s="766"/>
      <c r="G98" s="766"/>
      <c r="H98" s="767"/>
      <c r="I98" s="767"/>
      <c r="J98" s="767"/>
      <c r="K98" s="767"/>
      <c r="L98" s="767"/>
      <c r="M98" s="768"/>
      <c r="N98" s="212"/>
      <c r="O98" s="212"/>
      <c r="P98" s="246"/>
      <c r="R98" s="212"/>
    </row>
    <row r="99" spans="2:18" ht="42.75">
      <c r="B99" s="558" t="s">
        <v>40</v>
      </c>
      <c r="C99" s="524" t="s">
        <v>42</v>
      </c>
      <c r="D99" s="525" t="s">
        <v>41</v>
      </c>
      <c r="E99" s="525" t="s">
        <v>41</v>
      </c>
      <c r="F99" s="538" t="s">
        <v>43</v>
      </c>
      <c r="G99" s="525" t="s">
        <v>44</v>
      </c>
      <c r="H99" s="525" t="s">
        <v>62</v>
      </c>
      <c r="I99" s="525" t="s">
        <v>86</v>
      </c>
      <c r="J99" s="538" t="s">
        <v>65</v>
      </c>
      <c r="K99" s="525" t="s">
        <v>66</v>
      </c>
      <c r="L99" s="525" t="s">
        <v>63</v>
      </c>
      <c r="M99" s="526" t="s">
        <v>64</v>
      </c>
      <c r="N99" s="539"/>
      <c r="O99" s="565"/>
      <c r="P99" s="566"/>
      <c r="R99" s="212"/>
    </row>
    <row r="100" spans="2:18" ht="14.25">
      <c r="B100" s="305">
        <v>40634</v>
      </c>
      <c r="C100" s="329">
        <v>1465356</v>
      </c>
      <c r="D100" s="182">
        <v>953389632</v>
      </c>
      <c r="E100" s="540">
        <f>D100*-1</f>
        <v>-953389632</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94544740</v>
      </c>
      <c r="D101" s="182">
        <v>583270125</v>
      </c>
      <c r="E101" s="540">
        <f>IF(D101="","",D101*-1)</f>
        <v>-583270125</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59874428</v>
      </c>
      <c r="D102" s="182">
        <v>393389352</v>
      </c>
      <c r="E102" s="540">
        <f>IF(D102="","",D102*-1)</f>
        <v>-393389352</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c r="D103" s="546"/>
      <c r="E103" s="540">
        <f>IF(D103="","",D103*-1)</f>
      </c>
      <c r="F103" s="289"/>
      <c r="G103" s="289"/>
      <c r="H103" s="289"/>
      <c r="I103" s="541"/>
      <c r="J103" s="542"/>
      <c r="K103" s="542"/>
      <c r="L103" s="542"/>
      <c r="M103" s="545"/>
      <c r="N103" s="212"/>
      <c r="O103" s="212"/>
      <c r="P103" s="246"/>
      <c r="R103" s="212"/>
    </row>
    <row r="104" spans="2:18" ht="14.25">
      <c r="B104" s="305">
        <v>40756</v>
      </c>
      <c r="C104" s="329"/>
      <c r="D104" s="546"/>
      <c r="E104" s="540">
        <f>IF(D104="","",D104*-1)</f>
      </c>
      <c r="F104" s="289"/>
      <c r="G104" s="289"/>
      <c r="H104" s="289"/>
      <c r="I104" s="541"/>
      <c r="J104" s="542"/>
      <c r="K104" s="542"/>
      <c r="L104" s="542"/>
      <c r="M104" s="545"/>
      <c r="N104" s="212"/>
      <c r="O104" s="212"/>
      <c r="P104" s="246"/>
      <c r="R104" s="212"/>
    </row>
    <row r="105" spans="2:18" ht="14.25">
      <c r="B105" s="305">
        <v>40787</v>
      </c>
      <c r="C105" s="329"/>
      <c r="D105" s="546"/>
      <c r="E105" s="540">
        <f>IF(D105="","",D105*-1)</f>
      </c>
      <c r="F105" s="289"/>
      <c r="G105" s="289"/>
      <c r="H105" s="289"/>
      <c r="I105" s="541"/>
      <c r="J105" s="542"/>
      <c r="K105" s="542"/>
      <c r="L105" s="542"/>
      <c r="M105" s="545"/>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A1" sqref="A1"/>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69</v>
      </c>
      <c r="C6" s="780" t="s">
        <v>281</v>
      </c>
      <c r="D6" s="780"/>
      <c r="E6" s="780"/>
      <c r="F6" s="780"/>
      <c r="G6" s="780"/>
      <c r="H6" s="780"/>
      <c r="I6" s="781"/>
    </row>
    <row r="7" spans="2:9" ht="11.25">
      <c r="B7" s="245"/>
      <c r="C7" s="300"/>
      <c r="D7" s="212"/>
      <c r="E7" s="212"/>
      <c r="F7" s="212"/>
      <c r="G7" s="212"/>
      <c r="H7" s="212"/>
      <c r="I7" s="246"/>
    </row>
    <row r="8" spans="2:9" ht="15">
      <c r="B8" s="245"/>
      <c r="C8" s="300"/>
      <c r="D8" s="212"/>
      <c r="E8" s="212"/>
      <c r="F8" s="695" t="s">
        <v>159</v>
      </c>
      <c r="G8" s="696"/>
      <c r="H8" s="696"/>
      <c r="I8" s="697"/>
    </row>
    <row r="9" spans="2:9" ht="14.25">
      <c r="B9" s="245"/>
      <c r="C9" s="300"/>
      <c r="D9" s="212"/>
      <c r="E9" s="212"/>
      <c r="F9" s="489"/>
      <c r="G9" s="568"/>
      <c r="H9" s="568"/>
      <c r="I9" s="228"/>
    </row>
    <row r="10" spans="2:9" ht="11.25">
      <c r="B10" s="245"/>
      <c r="C10" s="300"/>
      <c r="D10" s="212"/>
      <c r="E10" s="212"/>
      <c r="F10" s="645" t="s">
        <v>215</v>
      </c>
      <c r="G10" s="637"/>
      <c r="H10" s="637"/>
      <c r="I10" s="638"/>
    </row>
    <row r="11" spans="2:9" ht="15.75" customHeight="1">
      <c r="B11" s="245"/>
      <c r="C11" s="300"/>
      <c r="D11" s="212"/>
      <c r="E11" s="212"/>
      <c r="F11" s="645"/>
      <c r="G11" s="637"/>
      <c r="H11" s="637"/>
      <c r="I11" s="638"/>
    </row>
    <row r="12" spans="2:9" ht="14.25">
      <c r="B12" s="245"/>
      <c r="C12" s="300"/>
      <c r="D12" s="212"/>
      <c r="E12" s="212"/>
      <c r="F12" s="148"/>
      <c r="G12" s="149"/>
      <c r="H12" s="569"/>
      <c r="I12" s="582"/>
    </row>
    <row r="13" spans="2:9" ht="11.25" customHeight="1">
      <c r="B13" s="245"/>
      <c r="C13" s="300"/>
      <c r="D13" s="212"/>
      <c r="E13" s="212"/>
      <c r="F13" s="777" t="s">
        <v>282</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12</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40</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c r="D65" s="577">
        <f>IF(C65&gt;0,C65+D64,"")</f>
      </c>
      <c r="E65" s="328"/>
      <c r="F65" s="328"/>
      <c r="G65" s="328"/>
      <c r="H65" s="328"/>
      <c r="I65" s="585"/>
      <c r="J65" s="279"/>
    </row>
    <row r="66" spans="2:10" ht="14.25">
      <c r="B66" s="305">
        <v>40756</v>
      </c>
      <c r="C66" s="182"/>
      <c r="D66" s="577">
        <f aca="true" t="shared" si="0" ref="D66:D73">IF(C66&gt;0,C66+D65,"")</f>
      </c>
      <c r="E66" s="328"/>
      <c r="F66" s="328"/>
      <c r="G66" s="328"/>
      <c r="H66" s="328"/>
      <c r="I66" s="585"/>
      <c r="J66" s="279"/>
    </row>
    <row r="67" spans="2:10" ht="14.25">
      <c r="B67" s="305">
        <v>40787</v>
      </c>
      <c r="C67" s="182"/>
      <c r="D67" s="577">
        <f t="shared" si="0"/>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546.415876526828</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